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nctcog-my.sharepoint.com/personal/pshinkle_nctcog_org/Documents/Desktop/"/>
    </mc:Choice>
  </mc:AlternateContent>
  <xr:revisionPtr revIDLastSave="0" documentId="8_{AE9F956E-B3E0-4A80-81AF-4C39CD5E4C89}" xr6:coauthVersionLast="47" xr6:coauthVersionMax="47" xr10:uidLastSave="{00000000-0000-0000-0000-000000000000}"/>
  <bookViews>
    <workbookView xWindow="29580" yWindow="780" windowWidth="24630" windowHeight="14550" tabRatio="736" firstSheet="1" activeTab="7" xr2:uid="{8E662DDC-6114-4242-95CD-E0495D152A9F}"/>
  </bookViews>
  <sheets>
    <sheet name="Risks &amp; Remediations" sheetId="1" r:id="rId1"/>
    <sheet name="2256 Investments" sheetId="13" r:id="rId2"/>
    <sheet name="Investment Summary" sheetId="15" r:id="rId3"/>
    <sheet name="Bond Yields" sheetId="2" r:id="rId4"/>
    <sheet name="Return &amp; Calcs." sheetId="12" r:id="rId5"/>
    <sheet name="Day Count Basis" sheetId="16" r:id="rId6"/>
    <sheet name="Websites" sheetId="14" r:id="rId7"/>
    <sheet name="Excel Sec. Functions" sheetId="3" r:id="rId8"/>
    <sheet name="Excel Int. Rate Conv." sheetId="4" r:id="rId9"/>
    <sheet name="Excel Single CF" sheetId="5" r:id="rId10"/>
    <sheet name="Excel Periodic CF" sheetId="6" r:id="rId11"/>
    <sheet name="Excel Per. Variable CF" sheetId="7" r:id="rId12"/>
    <sheet name="Excel Non-Per. CF" sheetId="8" r:id="rId13"/>
    <sheet name="Excel Deprec. &amp; Amort." sheetId="9" r:id="rId14"/>
    <sheet name="Excel Dollar Conv." sheetId="10" r:id="rId15"/>
    <sheet name="Excl Coup. Days" sheetId="11"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12" l="1"/>
  <c r="O31" i="12"/>
  <c r="Q25" i="12"/>
  <c r="O25" i="12"/>
  <c r="Q19" i="12"/>
  <c r="O19" i="12"/>
  <c r="L6" i="12"/>
  <c r="C17" i="12"/>
  <c r="B17" i="12"/>
  <c r="D16" i="12"/>
  <c r="E16" i="12" s="1"/>
  <c r="D15" i="12"/>
  <c r="E15" i="12" s="1"/>
  <c r="D14" i="12"/>
  <c r="C8" i="12"/>
  <c r="B8" i="12"/>
  <c r="E51" i="11"/>
  <c r="E43" i="11"/>
  <c r="E35" i="11"/>
  <c r="E27" i="11"/>
  <c r="E19" i="11"/>
  <c r="E9" i="11"/>
  <c r="E56" i="5"/>
  <c r="D24" i="10"/>
  <c r="D23" i="10"/>
  <c r="D22" i="10"/>
  <c r="D21" i="10"/>
  <c r="D20" i="10"/>
  <c r="D12" i="10"/>
  <c r="D11" i="10"/>
  <c r="D10" i="10"/>
  <c r="D9" i="10"/>
  <c r="D8" i="10"/>
  <c r="F48" i="9"/>
  <c r="F49" i="9"/>
  <c r="F50" i="9"/>
  <c r="F51" i="9"/>
  <c r="F47" i="9"/>
  <c r="F87" i="9"/>
  <c r="F86" i="9"/>
  <c r="F85" i="9"/>
  <c r="F84" i="9"/>
  <c r="F83" i="9"/>
  <c r="G82" i="9"/>
  <c r="G83" i="9" s="1"/>
  <c r="G84" i="9" s="1"/>
  <c r="G85" i="9" s="1"/>
  <c r="G86" i="9" s="1"/>
  <c r="G87" i="9" s="1"/>
  <c r="F75" i="9"/>
  <c r="F74" i="9"/>
  <c r="F73" i="9"/>
  <c r="F72" i="9"/>
  <c r="F71" i="9"/>
  <c r="G70" i="9"/>
  <c r="G71" i="9" s="1"/>
  <c r="G72" i="9" s="1"/>
  <c r="G73" i="9" s="1"/>
  <c r="G74" i="9" s="1"/>
  <c r="G75" i="9" s="1"/>
  <c r="F63" i="9"/>
  <c r="F62" i="9"/>
  <c r="F61" i="9"/>
  <c r="F60" i="9"/>
  <c r="F59" i="9"/>
  <c r="G59" i="9" s="1"/>
  <c r="G60" i="9" s="1"/>
  <c r="G61" i="9" s="1"/>
  <c r="G62" i="9" s="1"/>
  <c r="G63" i="9" s="1"/>
  <c r="G58" i="9"/>
  <c r="G46" i="9"/>
  <c r="F39" i="9"/>
  <c r="F38" i="9"/>
  <c r="F37" i="9"/>
  <c r="F36" i="9"/>
  <c r="F35" i="9"/>
  <c r="G34" i="9"/>
  <c r="G35" i="9" s="1"/>
  <c r="G36" i="9" s="1"/>
  <c r="G37" i="9" s="1"/>
  <c r="G38" i="9" s="1"/>
  <c r="G39" i="9" s="1"/>
  <c r="F27" i="9"/>
  <c r="F26" i="9"/>
  <c r="F25" i="9"/>
  <c r="F24" i="9"/>
  <c r="F23" i="9"/>
  <c r="F22" i="9"/>
  <c r="G22" i="9" s="1"/>
  <c r="G23" i="9" s="1"/>
  <c r="G24" i="9" s="1"/>
  <c r="G25" i="9" s="1"/>
  <c r="G26" i="9" s="1"/>
  <c r="G27" i="9" s="1"/>
  <c r="F13" i="9"/>
  <c r="F12" i="9"/>
  <c r="F11" i="9"/>
  <c r="F10" i="9"/>
  <c r="F9" i="9"/>
  <c r="F8" i="9"/>
  <c r="E27" i="8"/>
  <c r="E26" i="8"/>
  <c r="E25" i="8"/>
  <c r="E24" i="8"/>
  <c r="E23" i="8"/>
  <c r="E14" i="8"/>
  <c r="E13" i="8"/>
  <c r="E12" i="8"/>
  <c r="E11" i="8"/>
  <c r="E10" i="8"/>
  <c r="D10" i="7"/>
  <c r="D40" i="7"/>
  <c r="D39" i="7"/>
  <c r="D38" i="7"/>
  <c r="D37" i="7"/>
  <c r="D36" i="7"/>
  <c r="D27" i="7"/>
  <c r="D26" i="7"/>
  <c r="D25" i="7"/>
  <c r="D24" i="7"/>
  <c r="D23" i="7"/>
  <c r="D14" i="7"/>
  <c r="D13" i="7"/>
  <c r="D12" i="7"/>
  <c r="D11" i="7"/>
  <c r="F109" i="6"/>
  <c r="H109" i="6" s="1"/>
  <c r="F103" i="6"/>
  <c r="H103" i="6" s="1"/>
  <c r="F94" i="6"/>
  <c r="F90" i="6"/>
  <c r="D81" i="6"/>
  <c r="D80" i="6"/>
  <c r="F71" i="6"/>
  <c r="F62" i="6"/>
  <c r="D53" i="6"/>
  <c r="D52" i="6"/>
  <c r="F43" i="6"/>
  <c r="F39" i="6"/>
  <c r="E29" i="6"/>
  <c r="E28" i="6"/>
  <c r="E27" i="6"/>
  <c r="E26" i="6"/>
  <c r="E31" i="6" s="1"/>
  <c r="E25" i="6"/>
  <c r="E14" i="6"/>
  <c r="E13" i="6"/>
  <c r="E12" i="6"/>
  <c r="E11" i="6"/>
  <c r="E10" i="6"/>
  <c r="E16" i="6" s="1"/>
  <c r="C56" i="5"/>
  <c r="E44" i="5"/>
  <c r="D45" i="5" s="1"/>
  <c r="B36" i="5"/>
  <c r="E23" i="5"/>
  <c r="D24" i="5" s="1"/>
  <c r="D15" i="5"/>
  <c r="E9" i="5"/>
  <c r="D10" i="5" s="1"/>
  <c r="D21" i="4"/>
  <c r="D20" i="4"/>
  <c r="D19" i="4"/>
  <c r="D18" i="4"/>
  <c r="D11" i="4"/>
  <c r="D10" i="4"/>
  <c r="D9" i="4"/>
  <c r="D8" i="4"/>
  <c r="E160" i="3"/>
  <c r="E151" i="3"/>
  <c r="E140" i="3"/>
  <c r="E131" i="3"/>
  <c r="E121" i="3"/>
  <c r="E112" i="3"/>
  <c r="E101" i="3"/>
  <c r="E90" i="3"/>
  <c r="E78" i="3"/>
  <c r="E66" i="3"/>
  <c r="E56" i="3"/>
  <c r="E47" i="3"/>
  <c r="E37" i="3"/>
  <c r="E28" i="3"/>
  <c r="E19" i="3"/>
  <c r="E8" i="3"/>
  <c r="U66" i="1"/>
  <c r="C66" i="1"/>
  <c r="D66" i="1"/>
  <c r="E66" i="1"/>
  <c r="F66" i="1"/>
  <c r="G66" i="1"/>
  <c r="H66" i="1"/>
  <c r="I66" i="1"/>
  <c r="J66" i="1"/>
  <c r="K66" i="1"/>
  <c r="L66" i="1"/>
  <c r="M66" i="1"/>
  <c r="N66" i="1"/>
  <c r="O66" i="1"/>
  <c r="P66" i="1"/>
  <c r="Q66" i="1"/>
  <c r="R66" i="1"/>
  <c r="S66" i="1"/>
  <c r="T66" i="1"/>
  <c r="B66"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4" i="1"/>
  <c r="E14" i="12" l="1"/>
  <c r="E17" i="12" s="1"/>
  <c r="D17" i="12"/>
  <c r="D8" i="12"/>
  <c r="E8" i="12" s="1"/>
  <c r="D7" i="12"/>
  <c r="E7" i="12" s="1"/>
  <c r="D5" i="12"/>
  <c r="E5" i="12" s="1"/>
  <c r="D6" i="12"/>
  <c r="E6" i="12" s="1"/>
  <c r="G47" i="9"/>
  <c r="G48" i="9" s="1"/>
  <c r="G49" i="9" s="1"/>
  <c r="G50" i="9" s="1"/>
  <c r="G51" i="9" s="1"/>
  <c r="E45" i="5"/>
  <c r="D46" i="5"/>
  <c r="E24" i="5"/>
  <c r="D25" i="5"/>
  <c r="E10" i="5"/>
  <c r="D11" i="5"/>
  <c r="E46" i="5" l="1"/>
  <c r="D47" i="5"/>
  <c r="E25" i="5"/>
  <c r="D26" i="5"/>
  <c r="E11" i="5"/>
  <c r="D12" i="5"/>
  <c r="E47" i="5" l="1"/>
  <c r="D48" i="5"/>
  <c r="E26" i="5"/>
  <c r="D27" i="5"/>
  <c r="E12" i="5"/>
  <c r="D13" i="5"/>
  <c r="E13" i="5" s="1"/>
  <c r="E48" i="5" l="1"/>
  <c r="D49" i="5" s="1"/>
  <c r="E27" i="5"/>
  <c r="D28" i="5" s="1"/>
  <c r="E15" i="5"/>
  <c r="E49" i="5" l="1"/>
  <c r="D50" i="5" s="1"/>
  <c r="E28" i="5"/>
  <c r="D29" i="5"/>
  <c r="E50" i="5" l="1"/>
  <c r="D51" i="5" s="1"/>
  <c r="E29" i="5"/>
  <c r="D30" i="5" s="1"/>
  <c r="E51" i="5" l="1"/>
  <c r="D52" i="5"/>
  <c r="E30" i="5"/>
  <c r="D31" i="5" s="1"/>
  <c r="E52" i="5" l="1"/>
  <c r="D53" i="5" s="1"/>
  <c r="E31" i="5"/>
  <c r="D32" i="5"/>
  <c r="E53" i="5" l="1"/>
  <c r="D54" i="5"/>
  <c r="E54" i="5" s="1"/>
  <c r="E32" i="5"/>
  <c r="D33" i="5"/>
  <c r="E33" i="5" l="1"/>
  <c r="D34" i="5" s="1"/>
  <c r="E34" i="5" s="1"/>
  <c r="E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 Shinkle</author>
  </authors>
  <commentList>
    <comment ref="B2" authorId="0" shapeId="0" xr:uid="{B2F64576-B357-4E09-9AE1-90181B5CE217}">
      <text>
        <r>
          <rPr>
            <sz val="9"/>
            <color indexed="81"/>
            <rFont val="Tahoma"/>
            <family val="2"/>
          </rPr>
          <t>Market risk, refers to the potential for investors to experience losses due to factors that affect the overall performance of financial markets. Unlike specific or unsystematic risks, market risk cannot be eliminated through just diversification because it impacts the entire market simultaneously.</t>
        </r>
      </text>
    </comment>
    <comment ref="C2" authorId="0" shapeId="0" xr:uid="{E8820DAF-0BE3-4D44-B6E0-56A7B59FF071}">
      <text>
        <r>
          <rPr>
            <sz val="9"/>
            <color indexed="81"/>
            <rFont val="Tahoma"/>
            <family val="2"/>
          </rPr>
          <t xml:space="preserve">Liquidity risk refers to the potential difficulty an entity may face in meeting its short-term financial obligations due to a lack of cash or the inability to convert assets into cash without incurring significant losses. </t>
        </r>
      </text>
    </comment>
    <comment ref="D2" authorId="0" shapeId="0" xr:uid="{E674845A-9816-497E-9824-D01AB02256E7}">
      <text>
        <r>
          <rPr>
            <sz val="9"/>
            <color indexed="81"/>
            <rFont val="Tahoma"/>
            <family val="2"/>
          </rPr>
          <t>Interest rate risk is the potential for financial loss due to fluctuations in interest rates. It primarily affects fixed-income investments like bonds, whose market values move inversely to interest rate changes.</t>
        </r>
      </text>
    </comment>
    <comment ref="E2" authorId="0" shapeId="0" xr:uid="{CDB09404-2F3E-4D13-B397-3D489FA5BE73}">
      <text>
        <r>
          <rPr>
            <sz val="9"/>
            <color indexed="81"/>
            <rFont val="Tahoma"/>
            <family val="2"/>
          </rPr>
          <t>Concentration risk refers to the potential for financial loss due to overexposure to a single counterparty, sector, geographic region, or asset. This lack of diversification makes a portfolio more vulnerable to adverse events that affect the concentrated area.</t>
        </r>
      </text>
    </comment>
    <comment ref="F2" authorId="0" shapeId="0" xr:uid="{482C37C4-CCE0-4D18-9356-7F1F699AAC18}">
      <text>
        <r>
          <rPr>
            <sz val="9"/>
            <color indexed="81"/>
            <rFont val="Tahoma"/>
            <family val="2"/>
          </rPr>
          <t>Credit risk, also known as default risk, refers to the possibility that a borrower or counterparty will fail to meet their financial obligations—such as repaying a loan or making interest payments.</t>
        </r>
      </text>
    </comment>
    <comment ref="G2" authorId="0" shapeId="0" xr:uid="{E599E812-A9A0-4DC0-8123-35A9AA701568}">
      <text>
        <r>
          <rPr>
            <sz val="9"/>
            <color indexed="81"/>
            <rFont val="Tahoma"/>
            <family val="2"/>
          </rPr>
          <t>Reinvestment risk is the possibility that an investor will be unable to reinvest cash flows—such as interest, dividends, or principal repayments—at a rate comparable to the original investment’s return.</t>
        </r>
      </text>
    </comment>
    <comment ref="H2" authorId="0" shapeId="0" xr:uid="{FB8FA105-6732-46EA-8FCB-880B7163EB57}">
      <text>
        <r>
          <rPr>
            <sz val="9"/>
            <color indexed="81"/>
            <rFont val="Tahoma"/>
            <family val="2"/>
          </rPr>
          <t>Counterparty risk, also known as default risk, is the probability that the other party in a financial transaction will fail to fulfill their contractual obligations.</t>
        </r>
      </text>
    </comment>
    <comment ref="I2" authorId="0" shapeId="0" xr:uid="{B91A561B-8DFD-4715-A144-5E46807C339C}">
      <text>
        <r>
          <rPr>
            <sz val="9"/>
            <color indexed="81"/>
            <rFont val="Tahoma"/>
            <family val="2"/>
          </rPr>
          <t xml:space="preserve">Inflation risk, also known as purchasing power risk, is the potential for the real value of an investment, asset, or income stream to be eroded by rising prices in the economy. </t>
        </r>
      </text>
    </comment>
    <comment ref="J2" authorId="0" shapeId="0" xr:uid="{6B66D4AC-B4ED-4DBC-B9F6-727EB695A023}">
      <text>
        <r>
          <rPr>
            <sz val="9"/>
            <color indexed="81"/>
            <rFont val="Tahoma"/>
            <family val="2"/>
          </rPr>
          <t>Operational risk refers to the potential for loss resulting from inadequate or failed internal processes, people, systems, or external events. Unlike market or credit risk, which are tied to external financial conditions, operational risk is rooted in how an organization functions day-to-day.</t>
        </r>
      </text>
    </comment>
    <comment ref="K2" authorId="0" shapeId="0" xr:uid="{163CD0F5-8D7E-47EE-B9FC-FD9929B274A7}">
      <text>
        <r>
          <rPr>
            <sz val="9"/>
            <color indexed="81"/>
            <rFont val="Tahoma"/>
            <family val="2"/>
          </rPr>
          <t>Regulatory risk is the potential for financial or operational loss due to changes in laws, regulations, or policies that affect a business, sector, or market. These changes can increase compliance costs, reduce profitability, or alter the competitive landscape.</t>
        </r>
      </text>
    </comment>
    <comment ref="L2" authorId="0" shapeId="0" xr:uid="{18379D06-C1F4-41AB-B180-691CB4C9F0E4}">
      <text>
        <r>
          <rPr>
            <sz val="9"/>
            <color indexed="81"/>
            <rFont val="Tahoma"/>
            <family val="2"/>
          </rPr>
          <t>Extension risk is the possibility that borrowers will delay prepayments on loans due to changing market conditions—particularly rising interest rates. This delay extends the duration of the loan beyond what was originally expected, which can negatively affect investors who rely on timely cash flows</t>
        </r>
      </text>
    </comment>
    <comment ref="M2" authorId="0" shapeId="0" xr:uid="{676F641A-7FA3-4ED0-A749-18E8DDD22AE7}">
      <text>
        <r>
          <rPr>
            <sz val="9"/>
            <color indexed="81"/>
            <rFont val="Tahoma"/>
            <family val="2"/>
          </rPr>
          <t>Collateral risk refers to the potential for financial loss due to issues related to the collateral securing a financial transaction. This includes errors in the nature, quantity, pricing, or characteristics of the collateral. If the collateral is mismanaged or inaccurately valued, it can expose the lender or institution to significant losses.</t>
        </r>
      </text>
    </comment>
    <comment ref="N2" authorId="0" shapeId="0" xr:uid="{070B63F3-6863-476B-B521-08D1D6A994A9}">
      <text>
        <r>
          <rPr>
            <sz val="9"/>
            <color indexed="81"/>
            <rFont val="Tahoma"/>
            <family val="2"/>
          </rPr>
          <t>Opportunity risk refers to the potential loss or unfavorable outcome that arises when choosing one option over another. It represents the value of the next best alternative that is sacrificed as a result of making a specific decision.</t>
        </r>
      </text>
    </comment>
    <comment ref="O2" authorId="0" shapeId="0" xr:uid="{37BE411F-A990-480F-80A5-B1D3ECF24B7D}">
      <text>
        <r>
          <rPr>
            <sz val="9"/>
            <color indexed="81"/>
            <rFont val="Tahoma"/>
            <family val="2"/>
          </rPr>
          <t>Horizon risk is the potential for an investor’s planned investment time frame to be unexpectedly shortened due to unforeseen personal or financial events. This mismatch between the original investment horizon and a new, shorter one can force premature liquidation of assets—often at a loss or suboptimal return.</t>
        </r>
      </text>
    </comment>
    <comment ref="P2" authorId="0" shapeId="0" xr:uid="{31497E70-504D-444F-8CDF-C0456439637A}">
      <text>
        <r>
          <rPr>
            <sz val="9"/>
            <color indexed="81"/>
            <rFont val="Tahoma"/>
            <family val="2"/>
          </rPr>
          <t>Volatility risk refers to the potential for the value of an investment to change significantly in a short period due to fluctuations in the market. It is a key component of market risk and is particularly relevant for investments in stocks, options, and other financial instruments that can experience rapid price swings.</t>
        </r>
      </text>
    </comment>
    <comment ref="Q2" authorId="0" shapeId="0" xr:uid="{78CAF9EF-A4CD-4818-AE6A-68A32A9A3234}">
      <text>
        <r>
          <rPr>
            <sz val="9"/>
            <color indexed="81"/>
            <rFont val="Tahoma"/>
            <family val="2"/>
          </rPr>
          <t>Event risk refers to the possibility that a sudden, unforeseen event—such as a political upheaval, natural disaster, regulatory change, or economic shock—will negatively impact the value of an investment or the financial position of an organization.</t>
        </r>
      </text>
    </comment>
    <comment ref="R2" authorId="0" shapeId="0" xr:uid="{E849382D-BA30-4E19-AD33-293C8D345BA9}">
      <text>
        <r>
          <rPr>
            <sz val="9"/>
            <color indexed="81"/>
            <rFont val="Tahoma"/>
            <family val="2"/>
          </rPr>
          <t>Systemic risk is the potential for a major disruption or collapse of an entire financial system or market, rather than just a single entity or component. It is distinct from individual or firm-level risks because it can trigger widespread economic instability and affect many institutions and individuals simultaneously.</t>
        </r>
      </text>
    </comment>
    <comment ref="S2" authorId="0" shapeId="0" xr:uid="{43631FFF-CC9A-4C0D-BFD8-A58A53807952}">
      <text>
        <r>
          <rPr>
            <sz val="9"/>
            <color indexed="81"/>
            <rFont val="Tahoma"/>
            <family val="2"/>
          </rPr>
          <t>Model risk is the potential for loss resulting from the use of inaccurate, misused, or poorly designed models in financial decision-making. It arises when a model—used to value assets, assess risk, or guide investment strategy—fails to perform as intended, leading to incorrect conclusions or actions.</t>
        </r>
      </text>
    </comment>
    <comment ref="T2" authorId="0" shapeId="0" xr:uid="{9071D41E-3E42-4A68-AD97-B50DB1D45321}">
      <text>
        <r>
          <rPr>
            <sz val="9"/>
            <color indexed="81"/>
            <rFont val="Tahoma"/>
            <family val="2"/>
          </rPr>
          <t>Sociopolitical risk refers to the potential for adverse effects on organizations, investments, or economies due to social and political factors. It encompasses a broad range of uncertainties that can disrupt operations, alter strategic plans, or reduce asset values.</t>
        </r>
      </text>
    </comment>
    <comment ref="U2" authorId="0" shapeId="0" xr:uid="{C1B7F2B1-C9D3-47A3-ABA8-3354E233F77B}">
      <text>
        <r>
          <rPr>
            <sz val="9"/>
            <color indexed="81"/>
            <rFont val="Tahoma"/>
            <family val="2"/>
          </rPr>
          <t>Environmental risk refers to the potential for adverse effects on human health or ecological systems due to exposure to environmental hazards. These hazards can be physical, chemical, or biological in nature.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Patrick Shinkle</author>
  </authors>
  <commentList>
    <comment ref="A4" authorId="0" shapeId="0" xr:uid="{8D5DDBE3-992C-49BD-9D26-332AA2F48E6C}">
      <text>
        <r>
          <rPr>
            <sz val="9"/>
            <color indexed="81"/>
            <rFont val="Tahoma"/>
            <family val="2"/>
          </rPr>
          <t xml:space="preserve">Assessment supported bonds, also known as special assessment bonds, are a type of municipal bond that is financed through taxes imposed on the community that benefits from the project. The interest payments to bondholders come from these taxes, ensuring that the financial responsibility lies with those who gain from the improvements funded by the bond. These bonds are commonly used to fund specific development projects, including infrastructure improvements, such as highways, sewage systems, parks, and public schools. Unlike traditional municipal bonds, special assessment bonds are earmarked for the enhancement of properties within a designated area of a city, town, or county. The funds needed to meet the interest and principal payments on these bonds are collected through taxes levied exclusively on the residents and property owners within the defined area that directly benefit from the development project. In essence, this means that only those who experience the project's improvements are responsible for repaying the bond's debt. 
</t>
        </r>
      </text>
    </comment>
    <comment ref="A7" authorId="0" shapeId="0" xr:uid="{503AC037-0154-4C64-9091-A88525DDF9F4}">
      <text>
        <r>
          <rPr>
            <sz val="9"/>
            <color indexed="81"/>
            <rFont val="Tahoma"/>
            <family val="2"/>
          </rPr>
          <t xml:space="preserve">A banker's acceptance is a short-term financial instrument that represents a promise by a bank to pay a specified amount at a future date, typically between 30 and 180 days. It is essentially a bill of exchange that is guaranteed by a bank, meaning the bank assumes responsibility for payment to a third party if the account holder defaults. Banker's acceptances are often used in international trade to facilitate transactions and can be traded at a discount in the secondary market. 
</t>
        </r>
      </text>
    </comment>
    <comment ref="A9" authorId="0" shapeId="0" xr:uid="{96EE61B7-E990-4B36-9DCC-2A75CD88E5D4}">
      <text>
        <r>
          <rPr>
            <sz val="9"/>
            <color indexed="81"/>
            <rFont val="Tahoma"/>
            <family val="2"/>
          </rPr>
          <t xml:space="preserve">A certificate of deposit (CD) is a type of savings account offered by banks and credit unions that requires you to keep your money in the account for a fixed term, typically ranging from a few months to several years. In exchange for leaving your funds untouched for the term, the bank pays a fixed interest rate on your deposit, which is higher than that of traditional savings accounts.
</t>
        </r>
      </text>
    </comment>
    <comment ref="A10" authorId="0" shapeId="0" xr:uid="{DA8A6A61-6BA0-4658-8A32-82B46CD57877}">
      <text>
        <r>
          <rPr>
            <sz val="9"/>
            <color indexed="81"/>
            <rFont val="Tahoma"/>
            <family val="2"/>
          </rPr>
          <t>A certificate of indebtedness is essentially an IOU issued by the U.S. government or other entities, promising to return the funds to the holder with a fixed interest rate. These certificates serve as a way for governments to raise funds, manage cash flow, and meet short-term financial obligations. They are often used in public finance to provide a structured method for borrowing money.</t>
        </r>
      </text>
    </comment>
    <comment ref="A11" authorId="0" shapeId="0" xr:uid="{76540B13-D098-43EE-8992-832654695065}">
      <text>
        <r>
          <rPr>
            <sz val="9"/>
            <color indexed="81"/>
            <rFont val="Tahoma"/>
            <family val="2"/>
          </rPr>
          <t xml:space="preserve">Commercial paper is an unsecured, short-term debt instrument issued by corporations that need to raise capital for short-term needs.
</t>
        </r>
      </text>
    </comment>
    <comment ref="A12" authorId="0" shapeId="0" xr:uid="{C6DB0D82-FFDB-4FE6-AA97-41F2B529CAE3}">
      <text>
        <r>
          <rPr>
            <sz val="9"/>
            <color indexed="81"/>
            <rFont val="Tahoma"/>
            <family val="2"/>
          </rPr>
          <t xml:space="preserve">The Commodity Credit Corporation (CCC) was created in 1933 during the Great Depression to address the economic challenges faced by American farmers. It operates as a wholly-owned government corporation under the U.S. Department of Agriculture (USDA) and was reincorporated in 1948 under the Commodity Credit Corporation Charter Act. The CCC plays a crucial role in stabilizing farm income and commodity prices through various financial mechanisms and programs. 
</t>
        </r>
      </text>
    </comment>
  </commentList>
</comments>
</file>

<file path=xl/sharedStrings.xml><?xml version="1.0" encoding="utf-8"?>
<sst xmlns="http://schemas.openxmlformats.org/spreadsheetml/2006/main" count="1564" uniqueCount="1016">
  <si>
    <t>Asset Allocation</t>
  </si>
  <si>
    <t>Diversification</t>
  </si>
  <si>
    <t>Regular Monitoring &amp; Rebalancing</t>
  </si>
  <si>
    <t>Investing in Quality</t>
  </si>
  <si>
    <t>Maintaining Cash Reserves</t>
  </si>
  <si>
    <t>Staggering Maturities</t>
  </si>
  <si>
    <t>Using Liquidity Management Tools</t>
  </si>
  <si>
    <t>Monitoring Market Conditions</t>
  </si>
  <si>
    <t>Establishing Credit Lines</t>
  </si>
  <si>
    <t>Laddering</t>
  </si>
  <si>
    <t>Using Floating Rate Instruments</t>
  </si>
  <si>
    <t>Interest Rate Swaps</t>
  </si>
  <si>
    <t>Shortening Duration</t>
  </si>
  <si>
    <t>Regular Rebalancing</t>
  </si>
  <si>
    <t>Examining Underlying Holdings</t>
  </si>
  <si>
    <t>Limiting Exposure to Single Investments</t>
  </si>
  <si>
    <t>Using Funds &amp; Pools</t>
  </si>
  <si>
    <t>Monitoring Correlation</t>
  </si>
  <si>
    <t>Investing In Longer-Duration Instruments</t>
  </si>
  <si>
    <t>Active Management</t>
  </si>
  <si>
    <t>Floating Rate Instruments</t>
  </si>
  <si>
    <t>Thorough Due Diligence</t>
  </si>
  <si>
    <t>Regular Monitoring &amp; Credit Assessment</t>
  </si>
  <si>
    <t>Third-Party Clearinghouses</t>
  </si>
  <si>
    <t>Escrow Accounts</t>
  </si>
  <si>
    <t>Short-Term Bonds</t>
  </si>
  <si>
    <t>Internal Controls &amp; Audits</t>
  </si>
  <si>
    <t>Risk Assessment &amp; Monitoring</t>
  </si>
  <si>
    <t>Business Continuity Planning</t>
  </si>
  <si>
    <t>Technology &amp; Cybersecurity</t>
  </si>
  <si>
    <t>Training &amp; Awareness</t>
  </si>
  <si>
    <t>Incident Management</t>
  </si>
  <si>
    <t>Market</t>
  </si>
  <si>
    <t>Liquidity</t>
  </si>
  <si>
    <t>Interest Rate</t>
  </si>
  <si>
    <t>Concentration</t>
  </si>
  <si>
    <t>Credit or Default</t>
  </si>
  <si>
    <t>Counterparty</t>
  </si>
  <si>
    <t>Inflation</t>
  </si>
  <si>
    <t>Operational</t>
  </si>
  <si>
    <t>Extension</t>
  </si>
  <si>
    <t>Collateral</t>
  </si>
  <si>
    <t>Opportunity</t>
  </si>
  <si>
    <t>Horizon</t>
  </si>
  <si>
    <t>Volatility</t>
  </si>
  <si>
    <t>Event</t>
  </si>
  <si>
    <t>Systemic</t>
  </si>
  <si>
    <t>Model</t>
  </si>
  <si>
    <t>Sociopolitical</t>
  </si>
  <si>
    <t>X</t>
  </si>
  <si>
    <t>Regulatory</t>
  </si>
  <si>
    <t>Implementing Redemption Gates and Fees</t>
  </si>
  <si>
    <t>Reinvestment</t>
  </si>
  <si>
    <t>Investing in Inflation-Indexed Securities</t>
  </si>
  <si>
    <t>Staying Informed &amp; Engaged</t>
  </si>
  <si>
    <t>Compliance Programs</t>
  </si>
  <si>
    <t>Legal &amp; Regulatory Expertise</t>
  </si>
  <si>
    <t>Scenario Analysis &amp; Stress Testing</t>
  </si>
  <si>
    <t>Insurance</t>
  </si>
  <si>
    <t>Advocacy &amp; Lobbying</t>
  </si>
  <si>
    <t>Use of Collateral Mortgage Obligations (CMOs)</t>
  </si>
  <si>
    <t>Shorter-Duration Bonds</t>
  </si>
  <si>
    <t>Regular Valuation &amp; Monitoring</t>
  </si>
  <si>
    <t>Diversification of Collateral</t>
  </si>
  <si>
    <t>Third-Party Custodians</t>
  </si>
  <si>
    <t>Flexible Investment Policy &amp; Strategies</t>
  </si>
  <si>
    <t>Use of Investment Advisors</t>
  </si>
  <si>
    <t>Liquidity Considerations &amp; Management</t>
  </si>
  <si>
    <t>Prudent Fund Design</t>
  </si>
  <si>
    <t>Proactive Risk Management</t>
  </si>
  <si>
    <t>Macroprudential Tools</t>
  </si>
  <si>
    <t>Transparency &amp; Disclosure</t>
  </si>
  <si>
    <t>Regulatory Engagement</t>
  </si>
  <si>
    <t>Robust Model Validation</t>
  </si>
  <si>
    <t>Independent Review</t>
  </si>
  <si>
    <t>Documentation &amp; Transparency</t>
  </si>
  <si>
    <t>Governance Framework</t>
  </si>
  <si>
    <t>Political Risk Insurance</t>
  </si>
  <si>
    <t>Engagement with Stakeholders</t>
  </si>
  <si>
    <t>Collateral Agreements</t>
  </si>
  <si>
    <t>Strong Governance &amp; Oversight</t>
  </si>
  <si>
    <t>RISKS</t>
  </si>
  <si>
    <t>REMEDIATIONS</t>
  </si>
  <si>
    <t>Subtotals</t>
  </si>
  <si>
    <t>Vendor &amp; 3rd Party Risk Management</t>
  </si>
  <si>
    <t>NCTCOG - RISK / REMEDIATION GRID</t>
  </si>
  <si>
    <t>Copyright NCTCOG</t>
  </si>
  <si>
    <t>Environmental</t>
  </si>
  <si>
    <t>Fixed Rate Bonds: The coupon rate or nominal yield will be fixed and will not change over the lifetime of the bond.</t>
  </si>
  <si>
    <t>Floating Rate Bonds: The coupon payments/nominal yield will change over the life of the bond as dictated by changes in the referenced rate of interest.</t>
  </si>
  <si>
    <t>Indexed Bonds: The coupon payments/nominal yield will change in response to movement within its underlying index.</t>
  </si>
  <si>
    <t>The return of a bond as determined by the percentage of the face value the bond’s annual coupon payments amount to. The nominal yield is effectively the bond’s coupon rate. This rate may or may not change depending on the type of bond:</t>
  </si>
  <si>
    <t>This is a measurement of a bond's return or yield each year as represented as a percentage of the bond’s current market value or price. Tells investors what they can expect for a return in the current market. When used to describe a portfolio, a running yield refers to the cumulative return or yield of all investments currently held within that portfolio. This may be similar to a dividend yield, but instead of describing individual assets, it describes the entire investment group represented within the portfolio as a whole. Typically, running yields are figured annually, but many investors calculate it more often.</t>
  </si>
  <si>
    <t>Yield to Maturity (YTM)</t>
  </si>
  <si>
    <t>Describes the average yield or return that an investor can expect from an issue each year if they (1) purchase at market value and (2) hold until maturity. It is determined by using the coupon payment, the value of the issue at maturity, and any capital gains or losses that were incurred during the lifetime of the bond. YTM estimates typically assume that all coupon payments are reinvested within the bond. This figure is used to compare different bonds an investor is trying to choose between, and is one of the key figures compared between bonds. This is due to the fact it includes more variable than other comparable figures.</t>
  </si>
  <si>
    <t>Comparing the nominal yield of two different bonds is only helpful when the bonds have the same cost, same life span and same return. If any of these are different, the YTM measure becomes a more effective comparison tool.</t>
  </si>
  <si>
    <t>YTM is an example of what is called called a bond equivalent yield (BEY). Investors can find a more precise annual yield once they know the BEY for a bond if they account for the time value of money in the calculation. This is known as an effective annual yield (EAY).</t>
  </si>
  <si>
    <t>Annual Percentage Yield (APY)</t>
  </si>
  <si>
    <t>A calculation of the annualized real rate of return earned on an investment that takes into account the effect of compounding interest. Unlike simple interest, compounding interest is calculated periodically and the amount is immediately added to the balance. With each period going forward, the account balance gets a little bigger, so the interest paid on the balance gets bigger as well.</t>
  </si>
  <si>
    <t>Yield to Call (YTC)</t>
  </si>
  <si>
    <t>Yield to call refers to the bond’s yield at the time of its call date. This value doesn’t hold if the bond is kept until maturity, but only describes the value at the call date, which if given, can be found in the prospectus of the bond. This value is determined by the bond’s coupon rate, its market price and the length of the call date.</t>
  </si>
  <si>
    <t>Yield to Worst (YTW)</t>
  </si>
  <si>
    <t>Yield to worst describes the worst possible yield for a bond without the issuer of the bond going into default. Investors determine this by imagining worst-case scenarios for the issue. These scenarios include all provisions included in the bond, like a call, prepayment, or sinking fund—anything that would negatively impact the bond’s yield.</t>
  </si>
  <si>
    <t>Spread-to-worst (STW) is often used in conjunction with YTW. STW exposes the difference between the YTW of a given bond in comparison to a U.S. Treasury security.</t>
  </si>
  <si>
    <t>SEC Yield</t>
  </si>
  <si>
    <t>Regulators like Securities and Exchange Commission (SEC) have introduced a standard measure for yield calculation, called the SEC yield, which is the standard yield calculation developed by SEC and is aimed at offering a standard measure for fairer comparisons of bond funds. SEC yields are calculated after taking into consideration the required fees associated with the fund.</t>
  </si>
  <si>
    <t>Current Yield</t>
  </si>
  <si>
    <t>Current yield is a measure of the annual return an investor can expect to receive from a bond investment based on its current market price. It is calculated by dividing the bond's annual interest payment by its current market price.</t>
  </si>
  <si>
    <t>Nominal (Coupon) Yield</t>
  </si>
  <si>
    <t>Running Yield</t>
  </si>
  <si>
    <t>YTC = (C + (CP – PV) / (CP * (Y – T))) * (1 – (1 + Y)^(-T))   C = Coupon Rate, CP = Call Price, PV = Present Value, Y = Yield to Maturity, T = Time to call</t>
  </si>
  <si>
    <t>Yield to Maturity (YTM) = [Annual Coupon + (FV – PV) ÷ Number of Compounding Periods)] ÷ [(FV + PV) ÷ 2]</t>
  </si>
  <si>
    <t>APY = (1 + r/n)ⁿ - 1,                  where 'r' is the annual interest rate (as a decimal) and 'n' is the number of compounding periods per year.</t>
  </si>
  <si>
    <t>SEC Yield = (a / b) x (365 / 30)  a = dividends and interest earned over the previous 30 day period.  b  = maximum offering price per share</t>
  </si>
  <si>
    <t>Running Yield = (Annual Coupon Payment / Current Market Price) × 100</t>
  </si>
  <si>
    <t>Current Yield = Annual Income / Current Price of the Security</t>
  </si>
  <si>
    <t>Nominal Yield = (Annual Interest Payment / Face Value of the Bond) ​×100</t>
  </si>
  <si>
    <t>YTW = C + ((F - P) / N) / ((F + P) / 2),                 where C is the coupon rate, F is the face value of the bond, P is the current market price, and N is the number of years remaining until maturity.</t>
  </si>
  <si>
    <t>SECURITY FUNCTIONS</t>
  </si>
  <si>
    <t>ACCRINT</t>
  </si>
  <si>
    <t>Calculates the accrued interest for a security that pays periodic interest.</t>
  </si>
  <si>
    <t>ACCRINT( issue, first_interest, settlement, rate, [par], frequency, [basis], [calc_method] )</t>
  </si>
  <si>
    <t>Issue Date:</t>
  </si>
  <si>
    <t>Accrued Int:</t>
  </si>
  <si>
    <t>1st. Interest Date:</t>
  </si>
  <si>
    <t>Settlement Date:</t>
  </si>
  <si>
    <t>Par Value:</t>
  </si>
  <si>
    <t>Annual Coupon:</t>
  </si>
  <si>
    <t>Quarterly Payments:</t>
  </si>
  <si>
    <t>ACCRINTM</t>
  </si>
  <si>
    <t>Calculates the accrued interest for a security that pays interest at maturity.</t>
  </si>
  <si>
    <t>ACCRINTM( issue, settlement, rate, [par], [basis] )</t>
  </si>
  <si>
    <t>DISC</t>
  </si>
  <si>
    <t>Calculates the discount rate for a security.</t>
  </si>
  <si>
    <t>DISC( settlement, maturity, pr, redemption, [basis] )</t>
  </si>
  <si>
    <t>Discount Rate:</t>
  </si>
  <si>
    <t>Maturity Date:</t>
  </si>
  <si>
    <t>Price per $100</t>
  </si>
  <si>
    <t>Mat. / Redemption:</t>
  </si>
  <si>
    <t>DURATION</t>
  </si>
  <si>
    <t>Calculates the Macauley duration of a security with an assumed par value of $100</t>
  </si>
  <si>
    <t>DURATION( settlement, maturity, coupon, yld, frequency, [basis] )</t>
  </si>
  <si>
    <t>Duration Years:</t>
  </si>
  <si>
    <t>Coupon Rate:</t>
  </si>
  <si>
    <t>Yield:</t>
  </si>
  <si>
    <t>Payments Quarterly:</t>
  </si>
  <si>
    <t>INTRATE</t>
  </si>
  <si>
    <t>Calculates the interest rate for a fully invested security</t>
  </si>
  <si>
    <t>INTRATE( settlement, maturity, investment, redemption, [basis] )</t>
  </si>
  <si>
    <t>IntRate:</t>
  </si>
  <si>
    <t>Investment Value:</t>
  </si>
  <si>
    <t>Redemption Value:</t>
  </si>
  <si>
    <t>MDURATION</t>
  </si>
  <si>
    <t>Calculates the Macauley modified duration for a security with an assumed par value of $100</t>
  </si>
  <si>
    <t>MDURATION( settlement, maturity, coupon, yld, frequency, [basis] )</t>
  </si>
  <si>
    <t>ODDFPRICE</t>
  </si>
  <si>
    <t>Calculates the price per $100 face value of a security with an odd first period</t>
  </si>
  <si>
    <t>ODDFPRICE( settlement, maturity, issue, first_coupon, rate, yld, redemption, frequency, [basis] )</t>
  </si>
  <si>
    <t>Odd F Price:</t>
  </si>
  <si>
    <t>1st. Coupon Date:</t>
  </si>
  <si>
    <t>Annual Yield:</t>
  </si>
  <si>
    <t>ODDFYIELD</t>
  </si>
  <si>
    <t>Calculates the yield of a security with an odd first period</t>
  </si>
  <si>
    <t>ODDFYIELD( settlement, maturity, issue, first_coupon, rate, pr, redemption, frequency, [basis] )</t>
  </si>
  <si>
    <t>Odd F Yield:</t>
  </si>
  <si>
    <t>Int. Rate:</t>
  </si>
  <si>
    <t>Price:</t>
  </si>
  <si>
    <t>ODDLYEILD</t>
  </si>
  <si>
    <t>Calculates the yield of a security with an odd last period</t>
  </si>
  <si>
    <t>ODDLYIELD(settlement, maturity, last_interest, rate, pr, redemption, frequency, [basis])</t>
  </si>
  <si>
    <t>Odd L Yield:</t>
  </si>
  <si>
    <t>Last Int. Date:</t>
  </si>
  <si>
    <t>PRICE</t>
  </si>
  <si>
    <t>Calculates the price per $100 face value of a security that pays periodic interest</t>
  </si>
  <si>
    <t>PRICE( settlement, maturity, rate, yld, redemption, frequency, [basis] )</t>
  </si>
  <si>
    <t>Rate:</t>
  </si>
  <si>
    <t>Redemption</t>
  </si>
  <si>
    <t>Semi Payments:</t>
  </si>
  <si>
    <t>PRICEDISC</t>
  </si>
  <si>
    <t>Calculates the price per $100 face value of a discounted security</t>
  </si>
  <si>
    <t>PRICEDISC( settlement, maturity, discount, redemption, [basis] )</t>
  </si>
  <si>
    <t>Price Disc:</t>
  </si>
  <si>
    <t>Disc Rate:</t>
  </si>
  <si>
    <t>PRICEMAT</t>
  </si>
  <si>
    <t>Calculates the price per $100 face value of a security that pays interest at maturity</t>
  </si>
  <si>
    <t>PRICEMAT( settlement, maturity, issue, rate, yld, [basis] )</t>
  </si>
  <si>
    <t>Price Mat:</t>
  </si>
  <si>
    <t>RECEIVED</t>
  </si>
  <si>
    <t>Calculates the amount received at maturity for a fully invested Security</t>
  </si>
  <si>
    <t>RECEIVED( settlement, maturity, investment, discount, [basis] )</t>
  </si>
  <si>
    <t>Received:</t>
  </si>
  <si>
    <t>Investment Amt:</t>
  </si>
  <si>
    <t>Disc. Rate:</t>
  </si>
  <si>
    <t>YIELD</t>
  </si>
  <si>
    <t>Calculates the yield of a security that pays periodic interest</t>
  </si>
  <si>
    <t>YIELD( settlement, maturity, rate, pr, redemption, frequency, [basis] )</t>
  </si>
  <si>
    <t>Face Value:</t>
  </si>
  <si>
    <t>Int. Payments:</t>
  </si>
  <si>
    <t>YIELDDISC</t>
  </si>
  <si>
    <t>Calculates the annual yield of a discounted security</t>
  </si>
  <si>
    <t>YIELDDISC( settlement, maturity, pr, redemption, [basis] )</t>
  </si>
  <si>
    <t>Yield Disc:</t>
  </si>
  <si>
    <t>YIELDMAT</t>
  </si>
  <si>
    <t>Calculates the annual yield of a security that pays interest at maturity</t>
  </si>
  <si>
    <t>YIELDMAT( settlement, maturity, issue, rate, pr, [basis] )</t>
  </si>
  <si>
    <t>Yield Mat:</t>
  </si>
  <si>
    <t>INTEREST RATE CONVERSION</t>
  </si>
  <si>
    <t>EFFECT</t>
  </si>
  <si>
    <t>Calculates the effective annual interest rate from a supplied Nominal interest rate and number of periods</t>
  </si>
  <si>
    <t>EFFECT( nominal_rate, npery )</t>
  </si>
  <si>
    <t>Nominal Rate</t>
  </si>
  <si>
    <t>Periods</t>
  </si>
  <si>
    <t>Effective Rate:</t>
  </si>
  <si>
    <t>NOMINAL</t>
  </si>
  <si>
    <t>Calculates the annual nominal interest rate from a supplied Effective interest rate and number of periods</t>
  </si>
  <si>
    <t>NOMINAL( effect_rate, npery )</t>
  </si>
  <si>
    <t>Effective Rate</t>
  </si>
  <si>
    <t>Nominal Rate:</t>
  </si>
  <si>
    <t>AMORLINC</t>
  </si>
  <si>
    <t>Calculates the prorated linear depreciation of an asset for each accounting period</t>
  </si>
  <si>
    <t>AMORLINC( cost, date_purchased, first_period, salvage, period, rate, [basis] )</t>
  </si>
  <si>
    <t>Period</t>
  </si>
  <si>
    <t>Depreciation</t>
  </si>
  <si>
    <t>Value</t>
  </si>
  <si>
    <t>Cost</t>
  </si>
  <si>
    <t>Date Purch.</t>
  </si>
  <si>
    <t>First Period</t>
  </si>
  <si>
    <t>Salvage Val.</t>
  </si>
  <si>
    <t>Rate</t>
  </si>
  <si>
    <t>Basis</t>
  </si>
  <si>
    <t>[basis]</t>
  </si>
  <si>
    <t>Day Count Basis</t>
  </si>
  <si>
    <t>0 (or omitted)</t>
  </si>
  <si>
    <t>US (NASD) 30/360</t>
  </si>
  <si>
    <t>actual/actual</t>
  </si>
  <si>
    <t>actual/360</t>
  </si>
  <si>
    <t>actual/365</t>
  </si>
  <si>
    <t>European 30/360</t>
  </si>
  <si>
    <t>Frequency</t>
  </si>
  <si>
    <t>Annually</t>
  </si>
  <si>
    <t>Semi-Annually</t>
  </si>
  <si>
    <t>Quarterly</t>
  </si>
  <si>
    <t>SINGLE CASH FLOW FUNCTIONS</t>
  </si>
  <si>
    <t>FVSCHEDULE</t>
  </si>
  <si>
    <t>Calculates the future value of an initial principal, after applying a series of compound interest rates.</t>
  </si>
  <si>
    <t>Prob:</t>
  </si>
  <si>
    <t>Calculate the future value of an investment of $10,000, over 5 years.</t>
  </si>
  <si>
    <t>FVSCHEDULE( principal, schedule )</t>
  </si>
  <si>
    <t>Int.</t>
  </si>
  <si>
    <t>Yr. 1</t>
  </si>
  <si>
    <t>Yr. 2</t>
  </si>
  <si>
    <t>Yr. 3</t>
  </si>
  <si>
    <t>Yr. 4</t>
  </si>
  <si>
    <t>Yr. 5</t>
  </si>
  <si>
    <t>PDURATION</t>
  </si>
  <si>
    <t>Calculates the number of periods required for an investment to reach a specified value.</t>
  </si>
  <si>
    <t>Calculate the number of years for $10,000, at 4% per year, to reach $15,000.</t>
  </si>
  <si>
    <t>PDURATION( rate, pv, fv )</t>
  </si>
  <si>
    <t>Yr. 0</t>
  </si>
  <si>
    <t>Yr. 6</t>
  </si>
  <si>
    <t>Yr. 7</t>
  </si>
  <si>
    <t>Yr. 8</t>
  </si>
  <si>
    <t>Yr. 9</t>
  </si>
  <si>
    <t>Yr. 10</t>
  </si>
  <si>
    <t>Yr. 11</t>
  </si>
  <si>
    <t>RRI</t>
  </si>
  <si>
    <t>Calculates the interest rate required for an investment to grow to a specified future value.</t>
  </si>
  <si>
    <t>Calculate the int. rate for $10,000, to reach a value of $15,000 over 10 years.</t>
  </si>
  <si>
    <t>RRI( nper, pv, fv )</t>
  </si>
  <si>
    <t>PERIODIC CONSTANT CASH FLOWS</t>
  </si>
  <si>
    <t>CUMIPMT</t>
  </si>
  <si>
    <t>Calculates the cumulative interest paid between two specified periods.</t>
  </si>
  <si>
    <t>Calculate the cumulative interest of a 5% loan of $50,000 over 5 years.</t>
  </si>
  <si>
    <t>Interest payment to the loan is to be made at the end of each month.</t>
  </si>
  <si>
    <t>CUMIPMT( rate, nper, pv, start_period, end_period, type )</t>
  </si>
  <si>
    <t>60 mo.</t>
  </si>
  <si>
    <t>(1-12)</t>
  </si>
  <si>
    <t>(13-24)</t>
  </si>
  <si>
    <t>(25-36)</t>
  </si>
  <si>
    <t>(37-48)</t>
  </si>
  <si>
    <t>(49-60)</t>
  </si>
  <si>
    <t>CUMPRINC</t>
  </si>
  <si>
    <t>Calculates the cumulative principal paid on a loan, between two specified periods.</t>
  </si>
  <si>
    <t>Calculate the cumulative payment of a 5% loan of $50,000 over 5 years.</t>
  </si>
  <si>
    <t>CUMPRINC( rate, nper, pv, start_period, end_period, type )</t>
  </si>
  <si>
    <t>Prin.</t>
  </si>
  <si>
    <t>FV</t>
  </si>
  <si>
    <t>Calculates the future value of an investment with periodic constant payments and a constant interest rate.</t>
  </si>
  <si>
    <t>FV( rate, nper, [pmt], [pv], [type] )</t>
  </si>
  <si>
    <t xml:space="preserve">per month </t>
  </si>
  <si>
    <t xml:space="preserve">years at </t>
  </si>
  <si>
    <t>Pmt @ END</t>
  </si>
  <si>
    <t xml:space="preserve">per quarter </t>
  </si>
  <si>
    <t>Pmt @ START</t>
  </si>
  <si>
    <t>IPMT</t>
  </si>
  <si>
    <t>Calculates the interest payment of an investment, with periodic constant payments and a constant interest rate.</t>
  </si>
  <si>
    <t>Calculate the interest payment during months 1 and 2 for a loan of $50,000 over 5 years.</t>
  </si>
  <si>
    <t>IPMT( rate, per, nper, pv, [fv], [type] )</t>
  </si>
  <si>
    <t>loan</t>
  </si>
  <si>
    <t>Monthly</t>
  </si>
  <si>
    <t>Month 1 Int:</t>
  </si>
  <si>
    <t>Month 2 Int:</t>
  </si>
  <si>
    <t>NPER</t>
  </si>
  <si>
    <t>Returns the number of periods for an investment with periodic constant payments and a constant interest rate.</t>
  </si>
  <si>
    <t>Calculate the number of years to pay off a $50,000 loan at $6,000 per year. Interest is 4% per year.</t>
  </si>
  <si>
    <t>NPER( rate, pmt, pv, [fv], [type] )</t>
  </si>
  <si>
    <t>annual pmt.</t>
  </si>
  <si>
    <t xml:space="preserve"> per yr.</t>
  </si>
  <si>
    <t>PMT</t>
  </si>
  <si>
    <t>Calculates the payments required to reduce a loan, from a supplied present value to a specified future value.</t>
  </si>
  <si>
    <t>Calculate the monthly payments on a $50,000 loan paid off in 5 years. Interest rate of 5%.</t>
  </si>
  <si>
    <t>PMT( rate, nper, pv, [fv], [type] )</t>
  </si>
  <si>
    <t>PPMT</t>
  </si>
  <si>
    <t>PV</t>
  </si>
  <si>
    <t>Calculates the present value of an investment (Total amount that a series of future periodic payments is worth now).</t>
  </si>
  <si>
    <t>Calculate the present value of an annuity that pays $1,000 / month for 5 years. The interest is 5%.</t>
  </si>
  <si>
    <t>PV( rate, nper, [pmt], [fv], [type] )</t>
  </si>
  <si>
    <t>per month</t>
  </si>
  <si>
    <t>RATE</t>
  </si>
  <si>
    <t>Calculates the interest rate to pay off a specified amount of a loan, or reach a target amount over a given period.</t>
  </si>
  <si>
    <t>Calculate the interest rate, with fixed payments of $1,000 / mo. to pay off a $50,000 loan over 5 years.</t>
  </si>
  <si>
    <t>RATE( nper, pmt, pv, [fv], [type], [guess] )*12</t>
  </si>
  <si>
    <t>years</t>
  </si>
  <si>
    <t>Mon. Pmt.</t>
  </si>
  <si>
    <t xml:space="preserve">x 12 months = </t>
  </si>
  <si>
    <t>Calculate the interest, to save $20,000 over 2 years starting at 0.00 and monthly savings of $800.</t>
  </si>
  <si>
    <t>savings</t>
  </si>
  <si>
    <t>PERIODIC VARIABLE CASH FLOWS</t>
  </si>
  <si>
    <t>IRR</t>
  </si>
  <si>
    <t>Calculates the internal rate of return for a series of periodic cash flows.</t>
  </si>
  <si>
    <t>Calculate the Internal Rate of Return from an initial inv. with variable cashflows.</t>
  </si>
  <si>
    <t>IRR( values, [guess] )</t>
  </si>
  <si>
    <t>Initial Inv.</t>
  </si>
  <si>
    <t>Yr. 1 Inc.</t>
  </si>
  <si>
    <t>Yr. 2 Inc.</t>
  </si>
  <si>
    <t>Yr. 3 Inc.</t>
  </si>
  <si>
    <t>Yr. 4 Inc.</t>
  </si>
  <si>
    <t>Yr. 5 Inc.</t>
  </si>
  <si>
    <t>MIRR</t>
  </si>
  <si>
    <t>Calculates the modified internal rate of return for a series of periodic cash flows, considering the cost of the investment and the interest on the reinvestment of cash.</t>
  </si>
  <si>
    <t xml:space="preserve">Calculate the Modified Internal Rate of Return from an initial inv. With variable cashflows including interest reinvestment. </t>
  </si>
  <si>
    <t>MIRR( values, finance_rate, reinvest_rate )</t>
  </si>
  <si>
    <t>Int. Paid</t>
  </si>
  <si>
    <t>Int. Reinvested</t>
  </si>
  <si>
    <t>NPV</t>
  </si>
  <si>
    <t>Calculates the net present value of an investment, based on a supplied discount rate, and a series of periodic cash flows.</t>
  </si>
  <si>
    <t xml:space="preserve">Calculate NPV with an initial investment and rate using cash flow returns </t>
  </si>
  <si>
    <t>NPV( rate, value1, [value2], [value3], ... )</t>
  </si>
  <si>
    <t>NON-PERIODIC VARIABLE CASH FLOWS</t>
  </si>
  <si>
    <t>XIRR</t>
  </si>
  <si>
    <t>Calculates the internal rate of return for a schedule of cash flows occurring at a series of supplied dates.</t>
  </si>
  <si>
    <t>Calculate the Internal Rate of Return from an initial inv. with variable cashflows and specific dates.</t>
  </si>
  <si>
    <t>XIRR( values, dates, [guess] )</t>
  </si>
  <si>
    <t>Dates</t>
  </si>
  <si>
    <t>Period 1 Inc.</t>
  </si>
  <si>
    <t>Period 2 Inc.</t>
  </si>
  <si>
    <t>Period 3 Inc.</t>
  </si>
  <si>
    <t>Period 4 Inc.</t>
  </si>
  <si>
    <t>Period 5 Inc.</t>
  </si>
  <si>
    <t>XNPV</t>
  </si>
  <si>
    <t>Calculates the net present value for a schedule of cash flows occurring at a series of supplied dates.</t>
  </si>
  <si>
    <t>Calculate the Net Present Value from an initial inv. with variable cashflows and specific dates.</t>
  </si>
  <si>
    <t>XNPV( rate, values, dates )</t>
  </si>
  <si>
    <t>DEPRECIATION &amp; AMORTIZATION</t>
  </si>
  <si>
    <t>AMORDEGRC</t>
  </si>
  <si>
    <t>Calculates the prorated linear depreciation of an asset for each accounting period (with depreciation coefficient applied, depending on the life of the asset)</t>
  </si>
  <si>
    <t>AMORDEGRC( cost, date_purchased, first_period, salvage, period, rate, [basis] )</t>
  </si>
  <si>
    <t>DB</t>
  </si>
  <si>
    <t>Calculates the depreciation of an asset for a specified period, using the fixed-declining balance method</t>
  </si>
  <si>
    <t>DB( cost, salvage, life, period, [month] )</t>
  </si>
  <si>
    <t>Year</t>
  </si>
  <si>
    <t>Salvage Value</t>
  </si>
  <si>
    <t>Life</t>
  </si>
  <si>
    <t>DDB</t>
  </si>
  <si>
    <t>Calculates the depreciation of an asset for a specified period, using the double-declining balance method, or some other user-specified method</t>
  </si>
  <si>
    <t>DDB( cost, salvage, life, period, [factor] )</t>
  </si>
  <si>
    <t>SLN</t>
  </si>
  <si>
    <t>Returns the straight-line depreciation of an asset for one period</t>
  </si>
  <si>
    <t>SLN( cost, salvage, life )</t>
  </si>
  <si>
    <t>SYD</t>
  </si>
  <si>
    <t>Returns the sum-of-years' digits depreciation of an asset for a specified period</t>
  </si>
  <si>
    <t>SYD( cost, salvage, life, per )</t>
  </si>
  <si>
    <t>VDB</t>
  </si>
  <si>
    <t>Returns the depreciation of an asset for a specified period, (including partial periods), using the double-declining balance method or another user-specified method</t>
  </si>
  <si>
    <t>VDB( cost, salvage, life, start_period, end_period, [factor], [no_switch] )</t>
  </si>
  <si>
    <t>DOLLAR CONVERSION</t>
  </si>
  <si>
    <t>DOLLARDE</t>
  </si>
  <si>
    <t>Converts a dollar price expressed as a fraction, into a dollar price expressed as a decimal.</t>
  </si>
  <si>
    <t>DOLLARDE( fractional_dollar, fraction )</t>
  </si>
  <si>
    <t>Dollar Price</t>
  </si>
  <si>
    <t>Equals</t>
  </si>
  <si>
    <t>Dollar Decimal</t>
  </si>
  <si>
    <t xml:space="preserve"> = 1 + 1/16</t>
  </si>
  <si>
    <t>= 1 + 10/16</t>
  </si>
  <si>
    <t>= 1 + 3/32</t>
  </si>
  <si>
    <t>= 1 + 30/32</t>
  </si>
  <si>
    <t>= 1 + 12/32</t>
  </si>
  <si>
    <t>DOLLARFE</t>
  </si>
  <si>
    <t>Converts a dollar price expressed as a decimal, into a dollar price expressed as a fraction.</t>
  </si>
  <si>
    <t>DOLLARFR( decimal_dollar, fraction )</t>
  </si>
  <si>
    <t>Dollar Fraction</t>
  </si>
  <si>
    <t>COUPON DAYS</t>
  </si>
  <si>
    <t>Basis:</t>
  </si>
  <si>
    <t>Frequency:</t>
  </si>
  <si>
    <t>Returns the number of days from the beginning of a coupon period until its settlement date.</t>
  </si>
  <si>
    <t>COUPDAYBS</t>
  </si>
  <si>
    <t>Days</t>
  </si>
  <si>
    <t>Returns the number of days in the coupon period from the beginning of a coupon period until its settlement date.</t>
  </si>
  <si>
    <t>COUPDAYBS( settlement, maturity, frequency, [basis] )</t>
  </si>
  <si>
    <t>COUPDAYS</t>
  </si>
  <si>
    <t>COUPDAYSNC</t>
  </si>
  <si>
    <t>COUPDAYS( settlement, maturity, frequency, [basis] )</t>
  </si>
  <si>
    <t>COUPDAYSNC( settlement, maturity, frequency, [basis] )</t>
  </si>
  <si>
    <t>Returns the number of days from the settlement date to the next coupon date.</t>
  </si>
  <si>
    <t>COUPNCD</t>
  </si>
  <si>
    <t>Returns the next coupon date after the settlement date.</t>
  </si>
  <si>
    <t>COUPNCD( settlement, maturity, frequency, [basis] )</t>
  </si>
  <si>
    <t>COUPNUM</t>
  </si>
  <si>
    <t>Returns the number of coupons, or interest payments, payable between the settlement date and maturity date.</t>
  </si>
  <si>
    <t>COUPNUM(settlement,maturity,frequency,[basis])</t>
  </si>
  <si>
    <t>COUPPCD</t>
  </si>
  <si>
    <t>Returns the previous coupon date before the settlement date for a coupon bond.</t>
  </si>
  <si>
    <t>COUPPCD(settlement,maturity,frequency,[basis])</t>
  </si>
  <si>
    <t>BOND YIELDS</t>
  </si>
  <si>
    <t>PORTFOLIO RETURN</t>
  </si>
  <si>
    <t>The weight of each assett multiplied by the return of each asset.</t>
  </si>
  <si>
    <t>Balance</t>
  </si>
  <si>
    <t>Net Yield</t>
  </si>
  <si>
    <t>%age (Weight)</t>
  </si>
  <si>
    <t>Port. Return</t>
  </si>
  <si>
    <t>Pool A</t>
  </si>
  <si>
    <t>Pool B</t>
  </si>
  <si>
    <t>Pool C</t>
  </si>
  <si>
    <t>HOLDING PERIOD RETURN</t>
  </si>
  <si>
    <t>Calculates the total return from holding a given asset. </t>
  </si>
  <si>
    <t>Beg. Value</t>
  </si>
  <si>
    <t>Int. Earnings</t>
  </si>
  <si>
    <t>Ending Value</t>
  </si>
  <si>
    <t>HPR</t>
  </si>
  <si>
    <t>CD 1</t>
  </si>
  <si>
    <t>CD 2</t>
  </si>
  <si>
    <t>CD 3</t>
  </si>
  <si>
    <t>RETURN ON INVESTMENT (ROI)</t>
  </si>
  <si>
    <t>(FINAL VALUE - INITIAL VALUE) + DIVIDENDS - COMMISSIONS</t>
  </si>
  <si>
    <t>INITIAL VALUE</t>
  </si>
  <si>
    <t>CD Amount</t>
  </si>
  <si>
    <t>Compounding Periods</t>
  </si>
  <si>
    <t>Time in Years</t>
  </si>
  <si>
    <t>CERTIFICATE OF DEPOSIT</t>
  </si>
  <si>
    <t>INVESTMENT POOLS</t>
  </si>
  <si>
    <t>Dividend Factor x 365 = Daily Net Yield</t>
  </si>
  <si>
    <t>Dividend Factor x Daily Balance = Daily Interest Earnings</t>
  </si>
  <si>
    <t>TREASURY BILLS</t>
  </si>
  <si>
    <t>TBILLEQ</t>
  </si>
  <si>
    <t>Calculates the bond-equivalent yield for a treasury bill</t>
  </si>
  <si>
    <t>TBILLEQ( settlement, maturity, discount )</t>
  </si>
  <si>
    <t>T-Bill Eq:</t>
  </si>
  <si>
    <t>EQ = (100 - PRICE)/PRICE * (365/DTM)</t>
  </si>
  <si>
    <t>TBILLPRICE</t>
  </si>
  <si>
    <t>Calculates the price per $100 face value for a treasury bill</t>
  </si>
  <si>
    <t>TBILLPRICE( settlement, maturity, discount )</t>
  </si>
  <si>
    <t>T-Bill Price:</t>
  </si>
  <si>
    <t xml:space="preserve">P = 100 ( 1 - (Disc. Rate * DTM) / 360 </t>
  </si>
  <si>
    <t>TBILLYIELD</t>
  </si>
  <si>
    <t>Calculates the yield for a treasury bill</t>
  </si>
  <si>
    <t>TBILLYIELD( settlement, maturity, pr )</t>
  </si>
  <si>
    <t>T-Bill Yield:</t>
  </si>
  <si>
    <t>Y = (100 - Price)/Price * 100 * (360/DTM)</t>
  </si>
  <si>
    <t>OBLIGATIONS OF, OR GUARANTEED BY GOVERNMENTAL ENTITIES</t>
  </si>
  <si>
    <t>(a)</t>
  </si>
  <si>
    <t>Except as provided by Subsection (b), the following are authorized investments under this subchapter:</t>
  </si>
  <si>
    <t>(1)</t>
  </si>
  <si>
    <t>obligations, including letters of credit, of the United States or its agencies and instrumentalities, including the Federal Home Loan Banks;</t>
  </si>
  <si>
    <t>(2)</t>
  </si>
  <si>
    <t>collateralized mortgage obligations directly issued by a federal agency or instrumentality of the United States, the underlying security for which is guaranteed by an agency or instrumentality of the United States;</t>
  </si>
  <si>
    <t>(3)</t>
  </si>
  <si>
    <t>direct obligations of this state or its agencies and instrumentalities;</t>
  </si>
  <si>
    <t>(4)</t>
  </si>
  <si>
    <t>other obligations, the principal and interest of which are unconditionally guaranteed or insured by, or backed by the full faith and credit of, this state or the United States or their respective agencies and instrumentalities, including obligations that are fully guaranteed or insured by the Federal Deposit Insurance Corporation or by the explicit full faith and credit of the United States;</t>
  </si>
  <si>
    <t>(5)</t>
  </si>
  <si>
    <t>(6)</t>
  </si>
  <si>
    <t>(7)</t>
  </si>
  <si>
    <t>obligations of states, agencies, counties, cities, and other political subdivisions of any state rated as to investment quality by a nationally recognized investment rating firm not less than A or its equivalent;</t>
  </si>
  <si>
    <t>bonds issued, assumed, or guaranteed by the State of Israel;</t>
  </si>
  <si>
    <t>interest-bearing banking deposits that are guaranteed or insured by:</t>
  </si>
  <si>
    <t>(A)</t>
  </si>
  <si>
    <t>(B)</t>
  </si>
  <si>
    <t>the Federal Deposit Insurance Corporation or its successor; or</t>
  </si>
  <si>
    <t>the National Credit Union Share Insurance Fund or its successor; and</t>
  </si>
  <si>
    <t>(8)</t>
  </si>
  <si>
    <t>interest-bearing banking deposits other than those described by Subdivision (7) if:</t>
  </si>
  <si>
    <t>the funds invested in the banking deposits are invested through:</t>
  </si>
  <si>
    <t>(i)</t>
  </si>
  <si>
    <t>a broker with a main office or branch office in this state that the investing entity selects from a list the governing body or designated investment committee of the entity adopts as required by Section 2256.025; or</t>
  </si>
  <si>
    <t>(ii)</t>
  </si>
  <si>
    <t>a depository institution with a main office or branch office in this state that the investing entity selects;</t>
  </si>
  <si>
    <t>(C)</t>
  </si>
  <si>
    <t>the broker or depository institution selected as described by Paragraph (A) arranges for the deposit of the funds in the banking deposits in one or more federally insured depository institutions, regardless of where located, for the investing entity's account;</t>
  </si>
  <si>
    <t>the full amount of the principal and accrued interest of the banking deposits is insured by the United States or an instrumentality of the United States; and</t>
  </si>
  <si>
    <t>(D)</t>
  </si>
  <si>
    <t>the investing entity appoints as the entity's custodian of the banking deposits issued for the entity's account:</t>
  </si>
  <si>
    <t>(iii)</t>
  </si>
  <si>
    <t>the depository institution selected as described by Paragraph (A);</t>
  </si>
  <si>
    <t>an entity described by Section 2257.041(d); or</t>
  </si>
  <si>
    <t>a clearing broker dealer registered with the Securities and Exchange Commission and operating under Securities and Exchange Commission Rule 15c3-3 (17 C.F.R. Section 240.15c3-3).</t>
  </si>
  <si>
    <t>(b)</t>
  </si>
  <si>
    <t>The following are not authorized investments under this section:</t>
  </si>
  <si>
    <t>obligations whose payment represents the coupon payments on the outstanding principal balance of the underlying mortgage-backed security collateral and pays no principal;</t>
  </si>
  <si>
    <t>obligations whose payment represents the principal stream of cash flow from the underlying mortgage-backed security collateral and bears no interest;</t>
  </si>
  <si>
    <t>collateralized mortgage obligations that have a stated final maturity date of greater than 10 years; and</t>
  </si>
  <si>
    <t>collateralized mortgage obligations the interest rate of which is determined by an index that adjusts opposite to the changes in a market index.</t>
  </si>
  <si>
    <t>2256.009.</t>
  </si>
  <si>
    <t>2256.010.</t>
  </si>
  <si>
    <t>CERTIFICATES OF DEPOSIT AND SHARE CERTIFICATES</t>
  </si>
  <si>
    <t>A certificate of deposit or share certificate is an authorized investment under this subchapter if the certificate is issued by a depository institution that has its main office or a branch office in this state and is:</t>
  </si>
  <si>
    <t>guaranteed or insured by the Federal Deposit Insurance Corporation or its successor or the National Credit Union Share Insurance Fund or its successor;</t>
  </si>
  <si>
    <t>secured by obligations that are described by Section 2256.009(a), including mortgage backed securities directly issued by a federal agency or instrumentality that have a market value of not less than the principal amount of the certificates, but excluding those mortgage backed securities of the nature described by Section 2256.009(b); or</t>
  </si>
  <si>
    <t>secured in accordance with Chapter 2257 or in any other manner and amount provided by law for deposits of the investing entity.</t>
  </si>
  <si>
    <t>In addition to the authority to invest funds in certificates of deposit under Subsection (a), an investment in certificates of deposit made in accordance with the following conditions is an authorized investment under this subchapter:</t>
  </si>
  <si>
    <t>the funds are invested by an investing entity through:</t>
  </si>
  <si>
    <t>a broker that has its main office or a branch office in this state and is selected from a list adopted by the investing entity as required by Section 2256.025; or</t>
  </si>
  <si>
    <t>a depository institution that has its main office or a branch office in this state and that is selected by the investing entity;</t>
  </si>
  <si>
    <t>the broker or the depository institution selected by the investing entity under Subdivision (1) arranges for the deposit of the funds in certificates of deposit in one or more federally insured depository institutions, wherever located, for the account of the investing entity;</t>
  </si>
  <si>
    <t>the full amount of the principal and accrued interest of each of the certificates of deposit is insured by the United States or an instrumentality of the United States; and</t>
  </si>
  <si>
    <t>the investing entity appoints the depository institution selected by the investing entity under Subdivision (1), an entity described by Section 2257.041(d), or a clearing broker-dealer registered with the Securities and Exchange Commission and operating pursuant to Securities and Exchange Commission Rule 15c3-3 (17 C.F.R. Section 240.15c3-3) as custodian for the investing entity with respect to the certificates of deposit issued for the account of the investing entity.</t>
  </si>
  <si>
    <t>2256.011.</t>
  </si>
  <si>
    <t>REPURCHASE AGREEMENTS</t>
  </si>
  <si>
    <t>A fully collateralized repurchase agreement is an authorized investment under this subchapter if the repurchase agreement:</t>
  </si>
  <si>
    <t>has a defined termination date;</t>
  </si>
  <si>
    <t>is secured by a combination of cash and obligations described by Section 2256.009(a)(1) or 2256.013 or, if applicable, Section 2256.0204;</t>
  </si>
  <si>
    <t>requires the securities being purchased by the entity or cash held by the entity to be pledged to the entity either directly or through a joint account approved by the entity, held in the entity's name either directly or through a joint account approved by the entity, and deposited at the time the investment is made with the entity or with a third party selected and approved by the entity; and</t>
  </si>
  <si>
    <t>is placed through a primary government securities dealer, as defined by the Federal Reserve, or a financial institution doing business in this state.</t>
  </si>
  <si>
    <t>(a-1)</t>
  </si>
  <si>
    <t>A repurchase agreement made by an investing entity under this section may be submitted for clearing and settlement to a covered clearing agency, as defined by the Securities and Exchange Commission in Rule 17Ad-22 (17 C.F.R. Section 240.17Ad-22).</t>
  </si>
  <si>
    <t>In this section:</t>
  </si>
  <si>
    <t>"Joint account" means an account maintained by a custodian bank and established on behalf of two or more parties to engage in aggregate repurchase agreement transactions.</t>
  </si>
  <si>
    <t>"Repurchase agreement" means a simultaneous agreement to buy, hold for a specified time, and sell back at a future date obligations described by Section 2256.009(a)(1) or 2256.013 or, if applicable, Section 2256.0204, at a market value at the time the funds are disbursed of not less than the principal amount of the funds disbursed. The term includes a direct security repurchase agreement and a reverse security repurchase agreement.</t>
  </si>
  <si>
    <t>(c)</t>
  </si>
  <si>
    <t>Notwithstanding any other law, the term of any reverse security repurchase agreement may not exceed 90 days after the date the reverse security repurchase agreement is delivered.</t>
  </si>
  <si>
    <t>(d)</t>
  </si>
  <si>
    <t>(e)</t>
  </si>
  <si>
    <t>(f)</t>
  </si>
  <si>
    <t>(g)</t>
  </si>
  <si>
    <t>Money received by an entity under the terms of a reverse security repurchase agreement shall be used to acquire additional authorized investments, but the term of the authorized investments acquired must mature not later than the expiration date stated in the reverse security repurchase agreement.</t>
  </si>
  <si>
    <t>Section 1371.059(c) applies to the execution of a repurchase agreement by an investing entity.</t>
  </si>
  <si>
    <t>An investing entity that contracts with an investment management firm under Section 2256.003(b) may authorize the firm to invest the entity's public funds or other funds under the entity's control in repurchase agreements as provided by this section using a joint account.</t>
  </si>
  <si>
    <t>An investment management firm responsible for managing a repurchase agreement transaction using a joint account on behalf of an investing entity as authorized under Subsection (f) must ensure that:</t>
  </si>
  <si>
    <t>accounting and control procedures are implemented to document the investing entity's aggregate daily investment and pro rata share in the joint account;</t>
  </si>
  <si>
    <t>each party participating in the joint account retains the sole rights of ownership to the party's pro rata share of assets invested in the joint account, including investment earnings on those assets; and</t>
  </si>
  <si>
    <t>policies and procedures are implemented to prevent a party participating in the joint account from using any part of a balance of the joint account that is credited to another party.</t>
  </si>
  <si>
    <t>2256.015.</t>
  </si>
  <si>
    <t>SECURITIES LENDING PROGRAM</t>
  </si>
  <si>
    <t>A securities lending program is an authorized investment under this subchapter if it meets the conditions provided by this section.</t>
  </si>
  <si>
    <t>To qualify as an authorized investment under this subchapter:</t>
  </si>
  <si>
    <t>the value of securities loaned under the program must be not less than 100 percent collateralized, including accrued income;</t>
  </si>
  <si>
    <t>a loan made under the program must allow for termination at any time;</t>
  </si>
  <si>
    <t>a loan made under the program must be secured by:</t>
  </si>
  <si>
    <t>pledged securities described by Section 2256.009;</t>
  </si>
  <si>
    <t>pledged irrevocable letters of credit issued by a bank that is:</t>
  </si>
  <si>
    <t>organized and existing under the laws of the United States or any other state; and</t>
  </si>
  <si>
    <t>continuously rated by at least one nationally recognized investment rating firm at not less than A or its equivalent; or</t>
  </si>
  <si>
    <t>2256.0115.</t>
  </si>
  <si>
    <t>cash invested in accordance with Section:</t>
  </si>
  <si>
    <t>(iv)</t>
  </si>
  <si>
    <t>2256.009;</t>
  </si>
  <si>
    <t>2256.013;</t>
  </si>
  <si>
    <t>2256.014; or</t>
  </si>
  <si>
    <t>2256.016;</t>
  </si>
  <si>
    <t>the terms of a loan made under the program must require that the securities being held as collateral be:</t>
  </si>
  <si>
    <t>pledged to the investing entity;</t>
  </si>
  <si>
    <t>held in the investing entity's name; and</t>
  </si>
  <si>
    <t>deposited at the time the investment is made with the entity or with a third party selected by or approved by the investing entity;</t>
  </si>
  <si>
    <t>a loan made under the program must be placed through:</t>
  </si>
  <si>
    <t>a primary government securities dealer, as defined by 5 C.F.R. Section 6801.102(f), as that regulation existed on September 1, 2003; or</t>
  </si>
  <si>
    <t>a financial institution doing business in this state; and</t>
  </si>
  <si>
    <t>an agreement to lend securities that is executed under this section must have a term of one year or less.</t>
  </si>
  <si>
    <t>2256.012.</t>
  </si>
  <si>
    <t>BANKER'S ACCEPTANCES</t>
  </si>
  <si>
    <t>A bankers' acceptance is an authorized investment under this subchapter if the bankers' acceptance:</t>
  </si>
  <si>
    <t>has a stated maturity of 270 days or fewer from the date of its issuance;</t>
  </si>
  <si>
    <t>will be, in accordance with its terms, liquidated in full at maturity;</t>
  </si>
  <si>
    <t>is eligible for collateral for borrowing from a Federal Reserve Bank; and</t>
  </si>
  <si>
    <t>is accepted by a bank organized and existing under the laws of the United States or any state, if the short-term obligations of the bank, or of a bank holding company of which the bank is the largest subsidiary, are rated not less than A-1 or P-1 or an equivalent rating by at least one nationally recognized credit rating agency.</t>
  </si>
  <si>
    <t>2256.013.</t>
  </si>
  <si>
    <t>COMMERCIAL PAPER</t>
  </si>
  <si>
    <t>Commercial paper is an authorized investment under this subchapter if the commercial paper:</t>
  </si>
  <si>
    <t>has a stated maturity of 365 days or fewer from the date of its issuance; and</t>
  </si>
  <si>
    <t>is rated not less than A-1 or P-1 or an equivalent rating by at least:</t>
  </si>
  <si>
    <t>two nationally recognized credit rating agencies; or</t>
  </si>
  <si>
    <t>one nationally recognized credit rating agency and is fully secured by an irrevocable letter of credit issued by a bank organized and existing under the laws of the United States or any state.</t>
  </si>
  <si>
    <t>2256.014.</t>
  </si>
  <si>
    <t>MUTUAL FUNDS</t>
  </si>
  <si>
    <t>A no-load money market mutual fund is an authorized investment under this subchapter if the mutual fund:</t>
  </si>
  <si>
    <t>is registered with and regulated by the Securities and Exchange Commission;</t>
  </si>
  <si>
    <t>provides the investing entity with a prospectus and other information required by the Securities Exchange Act of 1934 (15 U.S.C. Section 78a et seq.) or the Investment Company Act of 1940 (15 U.S.C. Section 80a-1 et seq.); and</t>
  </si>
  <si>
    <t>complies with federal Securities and Exchange Commission Rule 2a-7 (17 C.F.R. Section 270.2a-7), promulgated under the Investment Company Act of 1940 (15 U.S.C. Section 80a-1 et seq.).</t>
  </si>
  <si>
    <t>In addition to a no-load money market mutual fund permitted as an authorized investment in Subsection (a), a no-load mutual fund is an authorized investment under this subchapter if the mutual fund:</t>
  </si>
  <si>
    <t>is registered with the Securities and Exchange Commission;</t>
  </si>
  <si>
    <t>has an average weighted maturity of less than two years; and</t>
  </si>
  <si>
    <t>either:</t>
  </si>
  <si>
    <t>has a duration of one year or more and is invested exclusively in obligations approved by this subchapter; or</t>
  </si>
  <si>
    <t>has a duration of less than one year and the investment portfolio is limited to investment grade securities, excluding asset-backed securities.</t>
  </si>
  <si>
    <t>An entity is not authorized by this section to:</t>
  </si>
  <si>
    <t>invest in the aggregate more than 15 percent of its monthly average fund balance, excluding bond proceeds and reserves and other funds held for debt service, in mutual funds described in Subsection (b);</t>
  </si>
  <si>
    <t>invest any portion of bond proceeds, reserves and funds held for debt service, in mutual funds described in Subsection (b); or</t>
  </si>
  <si>
    <t>invest its funds or funds under its control, including bond proceeds and reserves and other funds held for debt service, in any one mutual fund described in Subsection (a) or (b) in an amount that exceeds 10 percent of the total assets of the mutual fund.</t>
  </si>
  <si>
    <t>GUARANTEED INVESTMENT CONTRACTS</t>
  </si>
  <si>
    <t>A guaranteed investment contract is an authorized investment for bond proceeds under this subchapter if the guaranteed investment contract:</t>
  </si>
  <si>
    <t>is secured by obligations described by Section 2256.009(a)(1), excluding those obligations described by Section 2256.009(b), in an amount at least equal to the amount of bond proceeds invested under the contract; and</t>
  </si>
  <si>
    <t>is pledged to the entity and deposited with the entity or with a third party selected and approved by the entity.</t>
  </si>
  <si>
    <t>Bond proceeds, other than bond proceeds representing reserves and funds maintained for debt service purposes, may not be invested under this subchapter in a guaranteed investment contract with a term of longer than five years from the date of issuance of the bonds.</t>
  </si>
  <si>
    <t>To be eligible as an authorized investment:</t>
  </si>
  <si>
    <t>the governing body of the entity must specifically authorize guaranteed investment contracts as an eligible investment in the order, ordinance, or resolution authorizing the issuance of bonds;</t>
  </si>
  <si>
    <t>the entity must receive bids from at least three separate providers with no material financial interest in the bonds from which proceeds were received;</t>
  </si>
  <si>
    <t>the entity must purchase the highest yielding guaranteed investment contract for which a qualifying bid is received;</t>
  </si>
  <si>
    <t>the price of the guaranteed investment contract must take into account the reasonably expected drawdown schedule for the bond proceeds to be invested; and</t>
  </si>
  <si>
    <t>the provider must certify the administrative costs reasonably expected to be paid to third parties in connection with the guaranteed investment contract.</t>
  </si>
  <si>
    <t>Section 1371.059(c) applies to the execution of a guaranteed investment contract by an investing entity.</t>
  </si>
  <si>
    <t>2256.016.</t>
  </si>
  <si>
    <t>(9)</t>
  </si>
  <si>
    <t>(10)</t>
  </si>
  <si>
    <t>(11)</t>
  </si>
  <si>
    <t>(12)</t>
  </si>
  <si>
    <t>(13)</t>
  </si>
  <si>
    <t>An entity may invest its funds and funds under its control through an eligible investment pool if the governing body of the entity by rule, order, ordinance, or resolution, as appropriate, authorizes investment in the particular pool. An investment pool shall invest the funds it receives from entities in authorized investments permitted by this subchapter. An investment pool may invest its funds in money market mutual funds to the extent permitted by and consistent with this subchapter and the investment policies and objectives adopted by the investment pool.</t>
  </si>
  <si>
    <t>To be eligible to receive funds from and invest funds on behalf of an entity under this chapter, an investment pool must furnish to the investment officer or other authorized representative of the entity an offering circular or other similar disclosure instrument that contains, at a minimum, the following information:</t>
  </si>
  <si>
    <t>the types of investments in which money is allowed to be invested;</t>
  </si>
  <si>
    <t>the maximum average dollar-weighted maturity allowed, based on the stated maturity date, of the pool;</t>
  </si>
  <si>
    <t>the maximum stated maturity date any investment security within the portfolio has;</t>
  </si>
  <si>
    <t>the objectives of the pool;</t>
  </si>
  <si>
    <t>the size of the pool;</t>
  </si>
  <si>
    <t>the names of the members of the advisory board of the pool and the dates their terms expire;</t>
  </si>
  <si>
    <t>the custodian bank that will safekeep the pool's assets;</t>
  </si>
  <si>
    <t>whether the intent of the pool is to maintain a net asset value of one dollar and the risk of market price fluctuation;</t>
  </si>
  <si>
    <t>whether the only source of payment is the assets of the pool at market value or whether there is a secondary source of payment, such as insurance or guarantees, and a description of the secondary source of payment;</t>
  </si>
  <si>
    <t>the name and address of the independent auditor of the pool;</t>
  </si>
  <si>
    <t>the requirements to be satisfied for an entity to deposit funds in and withdraw funds from the pool and any deadlines or other operating policies required for the entity to invest funds in and withdraw funds from the pool;</t>
  </si>
  <si>
    <t>the performance history of the pool, including yield, average dollar-weighted maturities, and expense ratios; and</t>
  </si>
  <si>
    <t>the pool's policy regarding holding deposits in cash.</t>
  </si>
  <si>
    <t>To maintain eligibility to receive funds from and invest funds on behalf of an entity under this chapter, an investment pool must furnish to the investment officer or other authorized representative of the entity:</t>
  </si>
  <si>
    <t>investment transaction confirmations; and</t>
  </si>
  <si>
    <t>a monthly report that contains, at a minimum, the following information:</t>
  </si>
  <si>
    <t>(E)</t>
  </si>
  <si>
    <t>(F)</t>
  </si>
  <si>
    <t>(G)</t>
  </si>
  <si>
    <t>(H)</t>
  </si>
  <si>
    <t>(I)</t>
  </si>
  <si>
    <t>(J)</t>
  </si>
  <si>
    <t>(K)</t>
  </si>
  <si>
    <t>the types and percentage breakdown of securities in which the pool is invested;</t>
  </si>
  <si>
    <t>the current average dollar-weighted maturity, based on the stated maturity date, of the pool;</t>
  </si>
  <si>
    <t>the current percentage of the pool's portfolio in investments that have stated maturities of more than one year;</t>
  </si>
  <si>
    <t>the book value versus the market value of the pool's portfolio, using amortized cost valuation;</t>
  </si>
  <si>
    <t>the number of participants in the pool;</t>
  </si>
  <si>
    <t>the custodian bank that is safekeeping the assets of the pool;</t>
  </si>
  <si>
    <t>a listing of daily transaction activity of the entity participating in the pool;</t>
  </si>
  <si>
    <t>the yield and expense ratio of the pool, including a statement regarding how yield is calculated;</t>
  </si>
  <si>
    <t>the portfolio managers of the pool; and</t>
  </si>
  <si>
    <t>any changes or addenda to the offering circular.</t>
  </si>
  <si>
    <t>An entity by contract may delegate to an investment pool the authority to hold legal title as custodian of investments purchased with its local funds.</t>
  </si>
  <si>
    <t>In this section, for purposes of an investment pool for which a $1.00 net asset value is maintained, "yield" shall be calculated in accordance with regulations governing the registration of open-end management investment companies under the Investment Company Act of 1940, as promulgated from time to time by the federal Securities and Exchange Commission.</t>
  </si>
  <si>
    <t>To be eligible to receive funds from and invest funds on behalf of an entity under this chapter:</t>
  </si>
  <si>
    <t>a public funds investment pool that uses amortized cost or fair value accounting must mark its portfolio to market daily; and</t>
  </si>
  <si>
    <t>if the investment pool uses amortized cost:</t>
  </si>
  <si>
    <t>the investment pool must, to the extent reasonably possible, stabilize at a $1.00 net asset value, when rounded and expressed to two decimal places;</t>
  </si>
  <si>
    <t>the governing body of the investment pool must, if the ratio of the market value of the portfolio divided by the book value of the portfolio is less than 0.995 or greater than 1.005, take action as the body determines necessary to eliminate or reduce to the extent reasonably practicable any dilution or unfair result to existing participants, including a sale of portfolio holdings to attempt to maintain the ratio between 0.995 and 1.005; and</t>
  </si>
  <si>
    <t>the investment pool must, in addition to the requirements of its investment policy and any other forms of reporting, report yield to its investors in accordance with regulations of the federal Securities and Exchange Commission applicable to reporting by money market funds.</t>
  </si>
  <si>
    <t>To be eligible to receive funds from and invest funds on behalf of an entity under this chapter, a public funds investment pool must have an advisory board composed:</t>
  </si>
  <si>
    <t>equally of participants in the pool and other persons who do not have a business relationship with the pool and are qualified to advise the pool, for a public funds investment pool created under Chapter 791 and managed by a state agency; or</t>
  </si>
  <si>
    <t>of participants in the pool and other persons who do not have a business relationship with the pool and are qualified to advise the pool, for other investment pools.</t>
  </si>
  <si>
    <t>(h)</t>
  </si>
  <si>
    <t>(j)</t>
  </si>
  <si>
    <t>(k)</t>
  </si>
  <si>
    <t>To maintain eligibility to receive funds from and invest funds on behalf of an entity under this chapter, an investment pool must be continuously rated no lower than AAA or AAA-m or at an equivalent rating by at least one nationally recognized rating service.</t>
  </si>
  <si>
    <t>If the investment pool operates an Internet website, the information in a disclosure instrument or report described in Subsections (b), (c)(2), and (f) must be posted on the website.</t>
  </si>
  <si>
    <t>To maintain eligibility to receive funds from and invest funds on behalf of an entity under this chapter, an investment pool must make available to the entity an annual audited financial statement of the investment pool in which the entity has funds invested.</t>
  </si>
  <si>
    <t>If an investment pool offers fee breakpoints based on fund balances invested, the investment pool in advertising investment rates must include either all levels of return based on the breakpoints provided or state the lowest possible level of return based on the smallest level of funds invested.</t>
  </si>
  <si>
    <t>2256.020.</t>
  </si>
  <si>
    <t>INSTITUTIONS OF HIGHER EDUCATION</t>
  </si>
  <si>
    <t>In addition to the authorized investments permitted by this subchapter, an institution of higher education may purchase, sell, and invest its funds and funds under its control in the following:</t>
  </si>
  <si>
    <t>cash management and fixed income funds sponsored by organizations exempt from federal income taxation under Section 501(f), Internal Revenue Code of 1986 (26 U.S.C. Section 501(f));</t>
  </si>
  <si>
    <t>negotiable certificates of deposit issued by a bank that has a certificate of deposit rating of at least 1 or the equivalent by a nationally recognized credit rating agency or that is associated with a holding company having a commercial paper rating of at least A-1, P-1, or the equivalent by a nationally recognized credit rating agency; and</t>
  </si>
  <si>
    <t>corporate bonds, debentures, or similar debt obligations rated by a nationally recognized investment rating firm in one of the two highest long-term rating categories, without regard to gradations within those categories.</t>
  </si>
  <si>
    <t>2256.021.</t>
  </si>
  <si>
    <t>MUNICIPAL UTILITY</t>
  </si>
  <si>
    <t>A municipality that owns a municipal electric utility that is engaged in the distribution and sale of electric energy or natural gas to the public may enter into a hedging contract and related security and insurance agreements in relation to fuel oil, natural gas, coal, nuclear fuel, and electric energy to protect against loss due to price fluctuations. A hedging transaction must comply with the regulations of the Commodity Futures Trading Commission and the Securities and Exchange Commission. If there is a conflict between the municipal charter of the municipality and this chapter, this chapter prevails.</t>
  </si>
  <si>
    <t>A payment by a municipally owned electric or gas utility under a hedging contract or related agreement in relation to fuel supplies or fuel reserves is a fuel expense, and the utility may credit any amounts it receives under the contract or agreement against fuel expenses.</t>
  </si>
  <si>
    <t>The governing body of a municipally owned electric or gas utility or the body vested with power to manage and operate the municipally owned electric or gas utility may set policy regarding hedging transactions.</t>
  </si>
  <si>
    <t>In this section, "hedging" means the buying and selling of fuel oil, natural gas, coal, nuclear fuel, and electric energy futures or options or similar contracts on those commodities and related transportation costs as a protection against loss due to price fluctuation.</t>
  </si>
  <si>
    <t>2256.022.</t>
  </si>
  <si>
    <t>MUNICIPAL FUNDS FROM MANAGEMENT AND DEVELOPMENT OF MINERAL RIGHTS</t>
  </si>
  <si>
    <t>In addition to other investments authorized under this subchapter, a municipality may invest funds received by the municipality from a lease or contract for the management and development of land owned by the municipality and leased for oil, gas, or other mineral development in any investment authorized to be made by a trustee under Subtitle B, Title 9, Property Code (Texas Trust Code).</t>
  </si>
  <si>
    <t>Funds invested by a municipality under this section shall be segregated and accounted for separately from other funds of the municipality.</t>
  </si>
  <si>
    <t>2256.023.</t>
  </si>
  <si>
    <t>PORTS AND NAVIGATION DISTRICTS</t>
  </si>
  <si>
    <t>In this section, "district" means a navigation district organized under Section 52, Article III, or Section 59, Article XVI, Texas Constitution.</t>
  </si>
  <si>
    <t>In addition to the authorized investments permitted by this subchapter, a port or district may purchase, sell, and invest its funds and funds under its control in negotiable certificates of deposit issued by a bank that has a certificate of deposit rating of at least 1 or the equivalent by a nationally recognized credit rating agency or that is associated with a holding company having a commercial paper rating of at least A-1, P-1, or the equivalent by a nationally recognized credit rating agency.</t>
  </si>
  <si>
    <t>2256.024.</t>
  </si>
  <si>
    <t>INDEPENDENT SCHOOL DISTRICTS</t>
  </si>
  <si>
    <t>In this section, "corporate bond" means a senior secured debt obligation issued by a domestic business entity and rated not lower than "AA-" or the equivalent by a nationally recognized investment rating firm. The term does not include a debt obligation that:</t>
  </si>
  <si>
    <t>on conversion, would result in the holder becoming a stockholder or shareholder in the entity, or any affiliate or subsidiary of the entity, that issued the debt obligation; or</t>
  </si>
  <si>
    <t>is an unsecured debt obligation.</t>
  </si>
  <si>
    <t>This section applies only to an independent school district that qualifies as an issuer as defined by Section 1371.001.</t>
  </si>
  <si>
    <t>In addition to authorized investments permitted by this subchapter, an independent school district subject to this section may purchase, sell, and invest its funds and funds under its control in corporate bonds that, at the time of purchase, are rated by a nationally recognized investment rating firm "AA-" or the equivalent and have a stated final maturity that is not later than the third anniversary of the date the corporate bonds were purchased.</t>
  </si>
  <si>
    <t>An independent school district subject to this section is not authorized by this section to:</t>
  </si>
  <si>
    <t>invest in the aggregate more than 15 percent of its monthly average fund balance, excluding bond proceeds, reserves, and other funds held for the payment of debt service, in corporate bonds; or</t>
  </si>
  <si>
    <t>invest more than 25 percent of the funds invested in corporate bonds in any one domestic business entity, including subsidiaries and affiliates of the entity.</t>
  </si>
  <si>
    <t>An independent school district subject to this section may purchase, sell, and invest its funds and funds under its control in corporate bonds if the governing body of the district:</t>
  </si>
  <si>
    <t>amends its investment policy to authorize corporate bonds as an eligible investment;</t>
  </si>
  <si>
    <t>adopts procedures to provide for:</t>
  </si>
  <si>
    <t>monitoring rating changes in corporate bonds acquired with public funds; and</t>
  </si>
  <si>
    <t>liquidating the investment in corporate bonds; and</t>
  </si>
  <si>
    <t>identifies the funds eligible to be invested in corporate bonds.</t>
  </si>
  <si>
    <t>The investment officer of an independent school district, acting on behalf of the district, shall sell corporate bonds in which the district has invested its funds not later than the seventh day after the date a nationally recognized investment rating firm:</t>
  </si>
  <si>
    <t>issues a release that places the corporate bonds or the domestic business entity that issued the corporate bonds on negative credit watch or the equivalent, if the corporate bonds are rated "AA-" or the equivalent at the time the release is issued; or</t>
  </si>
  <si>
    <t>changes the rating on the corporate bonds to a rating lower than "AA-" or the equivalent.</t>
  </si>
  <si>
    <t>Repealed by Acts 2019, 86th Leg., R.S., Ch. 1133 (H.B. 2706), Sec. 5, eff. September 1, 2019.</t>
  </si>
  <si>
    <t>2256.0205.</t>
  </si>
  <si>
    <t>DECOMMISSIONING TRUST</t>
  </si>
  <si>
    <t>"Decommissioning trust" means a trust created to provide the Nuclear Regulatory Commission assurance that funds will be available for decommissioning purposes as required under 10 C.F.R. Part 50 or other similar regulation.</t>
  </si>
  <si>
    <t>"Funds" includes any money held in a decommissioning trust regardless of whether the money is considered to be public funds under this subchapter.</t>
  </si>
  <si>
    <t>In addition to other investments authorized under this subchapter, a municipality that owns a municipal electric utility that is engaged in the distribution and sale of electric energy or natural gas to the public may invest funds held in a decommissioning trust in any investment authorized by Subtitle B, Title 9, Property Code.</t>
  </si>
  <si>
    <t>2256.0206.</t>
  </si>
  <si>
    <t>HEDGING TRANSACTIONS</t>
  </si>
  <si>
    <t>"Eligible entity" means a political subdivision that has:</t>
  </si>
  <si>
    <t>a principal amount of at least $250 million in:</t>
  </si>
  <si>
    <t>outstanding long-term indebtedness;</t>
  </si>
  <si>
    <t>long-term indebtedness proposed to be issued; or</t>
  </si>
  <si>
    <t>a combination of outstanding long-term indebtedness and long-term indebtedness proposed to be issued; and</t>
  </si>
  <si>
    <t>outstanding long-term indebtedness that is rated in one of the four highest rating categories for long-term debt instruments by a nationally recognized rating agency for municipal securities, without regard to the effect of any credit agreement or other form of credit enhancement entered into in connection with the obligation.</t>
  </si>
  <si>
    <t>"Eligible project" has the meaning assigned by Section 1371.001.</t>
  </si>
  <si>
    <t>"Hedging" means acting to protect against economic loss due to price fluctuation of a commodity or related investment by entering into an offsetting position or using a financial agreement or producer price agreement in a correlated security, index, or other commodity.</t>
  </si>
  <si>
    <t>This section prevails to the extent of any conflict between this section and:</t>
  </si>
  <si>
    <t>another law; or</t>
  </si>
  <si>
    <t>an eligible entity's municipal charter, if applicable.</t>
  </si>
  <si>
    <t>The governing body of an eligible entity shall establish the entity's policy regarding hedging transactions.</t>
  </si>
  <si>
    <t>An eligible entity may enter into hedging transactions, including hedging contracts, and related security, credit, and insurance agreements in connection with commodities used by an eligible entity in the entity's general operations, with the acquisition or construction of a capital project, or with an eligible project. A hedging transaction must comply with the regulations of the federal Commodity Futures Trading Commission and the federal Securities and Exchange Commission.</t>
  </si>
  <si>
    <t>An eligible entity may pledge as security for and to the payment of a hedging contract or a security, credit, or insurance agreement any general or special revenues or funds the entity is authorized by law to pledge to the payment of any other obligation.</t>
  </si>
  <si>
    <t>Section 1371.059(c) applies to the execution by an eligible entity of a hedging contract and any related security, credit, or insurance agreement.</t>
  </si>
  <si>
    <t>An eligible entity may credit any amount the entity receives under a hedging contract against expenses associated with a commodity purchase.</t>
  </si>
  <si>
    <t>An eligible entity's cost of or payment under a hedging contract or agreement may be considered:</t>
  </si>
  <si>
    <t>an operation and maintenance expense of the eligible entity;</t>
  </si>
  <si>
    <t>an acquisition expense of the eligible entity;</t>
  </si>
  <si>
    <t>a project cost of an eligible project; or</t>
  </si>
  <si>
    <t>a construction expense of the eligible entity.</t>
  </si>
  <si>
    <t>PUBLIC JUNIOR COLLEGE DISTRICT FUNDS FROM MANAGEMENT AND DEVELOPMENT OF MINERAL RIGHTS</t>
  </si>
  <si>
    <t>In addition to other investments authorized under this subchapter, the governing board of a public junior college district may invest funds received by the district from a lease or contract for the management and development of land owned by the district and leased for oil, gas, or other mineral development in any investment authorized to be made by a trustee under Subtitle B, Title 9, Property Code (Texas Trust Code).</t>
  </si>
  <si>
    <t>Funds invested by the governing board of a public junior college district under this section shall be segregated and accounted for separately from other funds of the district.</t>
  </si>
  <si>
    <t>2256 ALLOWABLE INVESTMENTS</t>
  </si>
  <si>
    <t>North Central Texas Council of Governments</t>
  </si>
  <si>
    <t>Associations</t>
  </si>
  <si>
    <t xml:space="preserve">Texas </t>
  </si>
  <si>
    <t>Brokers/Dealers/Securities</t>
  </si>
  <si>
    <t>Informational</t>
  </si>
  <si>
    <t>Rating Agencies (NRSRO)</t>
  </si>
  <si>
    <t>Government Sponsored Enterprises – (GSEs)</t>
  </si>
  <si>
    <t>Investment Pools</t>
  </si>
  <si>
    <t>Investment Advisors</t>
  </si>
  <si>
    <t>NCTCOG</t>
  </si>
  <si>
    <t>https://www.nctcog.org/</t>
  </si>
  <si>
    <t>https://www.nctcog.org/training-development-institute</t>
  </si>
  <si>
    <t>https://txshare.org/</t>
  </si>
  <si>
    <t>https://www.aptusc.org/</t>
  </si>
  <si>
    <t>https://awbd.org/</t>
  </si>
  <si>
    <t>https://gfoat.org/</t>
  </si>
  <si>
    <t>https://gtot.nctcog.org/</t>
  </si>
  <si>
    <t>https://www.mactexas.com/</t>
  </si>
  <si>
    <t>https://icma.org/</t>
  </si>
  <si>
    <t>https://taad.org/</t>
  </si>
  <si>
    <t>https://www.county.org/</t>
  </si>
  <si>
    <t>https://www.texascountyauditors.org/</t>
  </si>
  <si>
    <t>https://txregionalcouncil.org/</t>
  </si>
  <si>
    <t>https://tasanet.org/</t>
  </si>
  <si>
    <t>https://www.tasb.org/</t>
  </si>
  <si>
    <t>https://www.tasbo.org/</t>
  </si>
  <si>
    <t>https://municlerks.unt.edu/index.html</t>
  </si>
  <si>
    <t>https://www.tml.org/</t>
  </si>
  <si>
    <t>https://www.trwa.org/</t>
  </si>
  <si>
    <t>NCTCOG - TDI</t>
  </si>
  <si>
    <t>Association of Public Treasurers – APT</t>
  </si>
  <si>
    <t>Association of Water Board Directors – AWBD</t>
  </si>
  <si>
    <t>Government Finance Officers’ Association of Texas – GFOAT</t>
  </si>
  <si>
    <t>Government Treasurers’ Organization of Texas – GTOT</t>
  </si>
  <si>
    <t>Municipal Advisory Council – MAC</t>
  </si>
  <si>
    <t>International City/County Management Association – ICMA</t>
  </si>
  <si>
    <t>Texas Association of Appraisal Districts – TAAD</t>
  </si>
  <si>
    <t>Texas Association of Counties – TAC</t>
  </si>
  <si>
    <t>Texas Association of County Auditors – TACA</t>
  </si>
  <si>
    <t>Texas Association of Regional Councils – TARC</t>
  </si>
  <si>
    <t>Texas Association of School Administrators – TASA</t>
  </si>
  <si>
    <t>Texas Association of School Boards – TASB</t>
  </si>
  <si>
    <t>Texas Association of School Business Officials – TASBO</t>
  </si>
  <si>
    <t>Texas Municipal Clerks Association – TMCC</t>
  </si>
  <si>
    <t>Texas Municipal League – TML</t>
  </si>
  <si>
    <t>Texas Rural Water Association – TRWA</t>
  </si>
  <si>
    <t>Texas Water Association – TWA</t>
  </si>
  <si>
    <t xml:space="preserve">Texas Bond Review Board: </t>
  </si>
  <si>
    <t>https://www.brb.texas.gov/</t>
  </si>
  <si>
    <t xml:space="preserve">Texas Commission on Environmental Equality: </t>
  </si>
  <si>
    <t>https://www.tceq.texas.gov/</t>
  </si>
  <si>
    <t xml:space="preserve">Texas Comptroller: </t>
  </si>
  <si>
    <t>https://comptroller.texas.gov/</t>
  </si>
  <si>
    <t>Texas Constitution and Statutes:</t>
  </si>
  <si>
    <t>https://statutes.capitol.texas.gov/Index.aspx</t>
  </si>
  <si>
    <t>Municipal Budgeting:</t>
  </si>
  <si>
    <t>https://statutes.capitol.texas.gov/Docs/LG/htm/LG.102.htm</t>
  </si>
  <si>
    <t xml:space="preserve">Depositories for Municipal Funds: </t>
  </si>
  <si>
    <t>https://statutes.capitol.texas.gov/docs/lg/htm/lg.105.htm</t>
  </si>
  <si>
    <t xml:space="preserve">Texas Department of Banking: </t>
  </si>
  <si>
    <t>https://www.dob.texas.gov/</t>
  </si>
  <si>
    <t>Texas Department of Emergency Management:</t>
  </si>
  <si>
    <t>https://tdem.texas.gov/</t>
  </si>
  <si>
    <t xml:space="preserve">Texas Department of Information Resources: </t>
  </si>
  <si>
    <t>https://dir.texas.gov/</t>
  </si>
  <si>
    <t xml:space="preserve">Texas Department of Public Safety: </t>
  </si>
  <si>
    <t>https://www.dps.texas.gov/</t>
  </si>
  <si>
    <t xml:space="preserve">Texas Department of Transportation: </t>
  </si>
  <si>
    <t>https://www.txdot.gov/</t>
  </si>
  <si>
    <t>Texas Economic Development &amp; Tourism Office:</t>
  </si>
  <si>
    <t>https://gov.texas.gov/business</t>
  </si>
  <si>
    <t xml:space="preserve">Texas Education Agency: </t>
  </si>
  <si>
    <t>https://tea.texas.gov/</t>
  </si>
  <si>
    <t>Texas Ethics Commission:</t>
  </si>
  <si>
    <t>https://www.ethics.state.tx.us/</t>
  </si>
  <si>
    <t>Texas Finance Commission:</t>
  </si>
  <si>
    <t>https://www.fc.texas.gov/</t>
  </si>
  <si>
    <t xml:space="preserve">Texas Legislative Budget Board:  </t>
  </si>
  <si>
    <t>https://lbb.texas.gov/default.aspx</t>
  </si>
  <si>
    <t>Texas Public Finance Authority:</t>
  </si>
  <si>
    <t>https://www.tpfa.state.tx.us/</t>
  </si>
  <si>
    <t xml:space="preserve">Texas State Auditor’s Office: </t>
  </si>
  <si>
    <t>https://sao.texas.gov/</t>
  </si>
  <si>
    <t xml:space="preserve">Texas State Board of Public Accountancy: </t>
  </si>
  <si>
    <t>https://www.tsbpa.texas.gov/</t>
  </si>
  <si>
    <t xml:space="preserve">Texas State Library and Archives Commission: </t>
  </si>
  <si>
    <t>https://www.tsl.texas.gov/</t>
  </si>
  <si>
    <t xml:space="preserve">Texas State Securities Board: </t>
  </si>
  <si>
    <t>https://www.ssb.texas.gov/</t>
  </si>
  <si>
    <t>https://statutes.capitol.texas.gov/Docs/GV/htm/GV.2256.htm:</t>
  </si>
  <si>
    <t>Texas Public Funds Investment Act:</t>
  </si>
  <si>
    <t>https://statutes.capitol.texas.gov/Docs/GV/htm/GV.2257.htm</t>
  </si>
  <si>
    <t>Texas Public Funds Collateral Act:</t>
  </si>
  <si>
    <t>https://texaswaterassociation.org/</t>
  </si>
  <si>
    <t xml:space="preserve">Financial Industry Regulatory Authority – (FINRA): </t>
  </si>
  <si>
    <t>https://www.finra.org/</t>
  </si>
  <si>
    <t xml:space="preserve">Securities Industry and Financial Markets Association – (SIFMA): </t>
  </si>
  <si>
    <t>https://www.sifma.org/</t>
  </si>
  <si>
    <t xml:space="preserve">Municipal Securities Rulemaking Board – (MSRB): </t>
  </si>
  <si>
    <t>https://www.msrb.org/</t>
  </si>
  <si>
    <t xml:space="preserve">MSRB – Electronic Municipal Marketplace Access – (EMMA): </t>
  </si>
  <si>
    <t>https://emma.msrb.org/</t>
  </si>
  <si>
    <t xml:space="preserve">U.S. Securities and Exchange Commission – (SEC): </t>
  </si>
  <si>
    <t>https://www.sec.gov/</t>
  </si>
  <si>
    <t xml:space="preserve">Federal Deposit Insurance Corporation – (FDIC): </t>
  </si>
  <si>
    <t>https://www.fdic.gov/</t>
  </si>
  <si>
    <t xml:space="preserve">Federal Reserve: </t>
  </si>
  <si>
    <t>https://www.federalreserve.gov/</t>
  </si>
  <si>
    <t xml:space="preserve">Federal Reserve Bank of Dallas: </t>
  </si>
  <si>
    <t>https://www.dallasfed.org/</t>
  </si>
  <si>
    <t xml:space="preserve">Fed FRAISER (History): </t>
  </si>
  <si>
    <t>https://fraser.stlouisfed.org/</t>
  </si>
  <si>
    <t xml:space="preserve">FedNow (Payment System): </t>
  </si>
  <si>
    <t>https://www.frbservices.org/financial-services/fednow/</t>
  </si>
  <si>
    <t>Federal</t>
  </si>
  <si>
    <t xml:space="preserve">Government Finance Officers Association – Best Practices: </t>
  </si>
  <si>
    <t>https://www.gfoa.org/best-practices</t>
  </si>
  <si>
    <t xml:space="preserve">Investopdia: </t>
  </si>
  <si>
    <t>https://www.investopedia.com/</t>
  </si>
  <si>
    <t xml:space="preserve">Treasury Direct: </t>
  </si>
  <si>
    <t>https://www.treasurydirect.gov/</t>
  </si>
  <si>
    <t xml:space="preserve">U.S. Department of the Treasury: </t>
  </si>
  <si>
    <t>https://home.treasury.gov/</t>
  </si>
  <si>
    <t xml:space="preserve">Federal Financial Institutions Examination Council – (FFIEC): </t>
  </si>
  <si>
    <t>https://www.ffiec.gov/</t>
  </si>
  <si>
    <t xml:space="preserve">National Credit Union Share Insurance Fund – (NCUSIF): </t>
  </si>
  <si>
    <t>https://ncua.gov/support-services/share-insurance-fund</t>
  </si>
  <si>
    <t xml:space="preserve">FitchRatings: </t>
  </si>
  <si>
    <t>https://www.fitchratings.com/</t>
  </si>
  <si>
    <t xml:space="preserve">Moody’s: </t>
  </si>
  <si>
    <t>https://www.moodys.com/</t>
  </si>
  <si>
    <t xml:space="preserve">S&amp;P Global: </t>
  </si>
  <si>
    <t>https://www.spglobal.com/en</t>
  </si>
  <si>
    <t xml:space="preserve">Farm Credit Administration – (FCA): </t>
  </si>
  <si>
    <t>https://www.fca.gov/</t>
  </si>
  <si>
    <t xml:space="preserve">Federal Agriculture Mortgage Corporation (Farmer Mac): </t>
  </si>
  <si>
    <t>https://www.farmermac.com/</t>
  </si>
  <si>
    <t xml:space="preserve">Federal Home Loan Mortgage Corporation - (FHLMC – Freddy Mac): </t>
  </si>
  <si>
    <t>https://www.freddiemac.com/</t>
  </si>
  <si>
    <t xml:space="preserve">Federal Home Loan Banks – (FHLB): </t>
  </si>
  <si>
    <t>https://fhlbanks.com/</t>
  </si>
  <si>
    <t xml:space="preserve">Federal National Mortgage Association - (FNMA – Fannie Mae): </t>
  </si>
  <si>
    <t>https://www.fanniemae.com/</t>
  </si>
  <si>
    <t>https://www.ginniemae.gov/pages/default.aspx</t>
  </si>
  <si>
    <t xml:space="preserve">Government National Mortgage Association – (GNMA – Ginnie Mae): </t>
  </si>
  <si>
    <t xml:space="preserve">LOGIC: </t>
  </si>
  <si>
    <t>https://www.texstar.org/</t>
  </si>
  <si>
    <t xml:space="preserve">LoneStar: </t>
  </si>
  <si>
    <t>https://www.lonestarinvestmentpool.com/</t>
  </si>
  <si>
    <t xml:space="preserve">TexasCLASS: </t>
  </si>
  <si>
    <t>https://www.texasclass.com/</t>
  </si>
  <si>
    <t xml:space="preserve">Texas Fixed Income Trust (FIT): </t>
  </si>
  <si>
    <t>https://tx-fit.com/</t>
  </si>
  <si>
    <t xml:space="preserve">Texas Range: </t>
  </si>
  <si>
    <t>https://www.texas-range.com/</t>
  </si>
  <si>
    <t xml:space="preserve">TexPool: </t>
  </si>
  <si>
    <t>https://www.texpool.com/texPool/home.do</t>
  </si>
  <si>
    <t xml:space="preserve">TexSTAR: </t>
  </si>
  <si>
    <t xml:space="preserve">Hilltop Asset Management: </t>
  </si>
  <si>
    <t>https://www.hilltopsecurities.com/asset-management/</t>
  </si>
  <si>
    <t xml:space="preserve">Valleyview Consulting LLC: </t>
  </si>
  <si>
    <t>https://valleyviewconsultingllc.com/</t>
  </si>
  <si>
    <t>NCTCOG - TXShare</t>
  </si>
  <si>
    <t>Website Links</t>
  </si>
  <si>
    <t>https://www.logic.org/HilltopSecurities.aspx</t>
  </si>
  <si>
    <t>DAY COUNT BASIS</t>
  </si>
  <si>
    <t>Assessment Supported Bonds</t>
  </si>
  <si>
    <t>Semi-Annual Coupon, 30/360 Day Basis (Bonds) - 1</t>
  </si>
  <si>
    <t>Semi-Annual Coupon, Actual/365 Day Basis (Bonds) - 2</t>
  </si>
  <si>
    <t>Interest at Maturity, 30/360 Day Basis (Notes) - 3</t>
  </si>
  <si>
    <t>Interest at Maturity, Actual/360 Day Basis (Notes) - 4</t>
  </si>
  <si>
    <t>Interest at Maturity, Actual/365 Day Basis (Notes) - 5</t>
  </si>
  <si>
    <t>Discount, Actual/360 Day Day Basis (Notes) - 6</t>
  </si>
  <si>
    <t>Assessment Supported Notes</t>
  </si>
  <si>
    <t>Assessment Supported Warrants</t>
  </si>
  <si>
    <t>Banker's Acceptances</t>
  </si>
  <si>
    <t>Banks for Corporate Debentures</t>
  </si>
  <si>
    <t>Certificates of Deposit</t>
  </si>
  <si>
    <t>Certificates of Indebtedness</t>
  </si>
  <si>
    <t>Commercial Paper</t>
  </si>
  <si>
    <t>Commodity Credit Corporation</t>
  </si>
  <si>
    <t>Corporate Bonds</t>
  </si>
  <si>
    <t>Export-Import Bank Participation Certificates</t>
  </si>
  <si>
    <t>Farmers Home Administration Insured Notes</t>
  </si>
  <si>
    <t>Federal Home Loan Bank Notes and Bonds</t>
  </si>
  <si>
    <t>Federal Immediate Credit Bank Debentures</t>
  </si>
  <si>
    <t>Federal Housing Administration Debentures</t>
  </si>
  <si>
    <t>Federal Land Bank Bonds</t>
  </si>
  <si>
    <t>FNMA Debentures</t>
  </si>
  <si>
    <t>FNMA Short Term Notes</t>
  </si>
  <si>
    <t>GNMA Bondsand Participation Certificates</t>
  </si>
  <si>
    <t>Inter-American Development Bank Bonds</t>
  </si>
  <si>
    <t>International Bank for Reconstruction &amp; Dev. Bonds</t>
  </si>
  <si>
    <t>Merchant Marine Bonds</t>
  </si>
  <si>
    <t>Repurchase Agreements</t>
  </si>
  <si>
    <t>Revenue Supported Bonds</t>
  </si>
  <si>
    <t>Revenue Supported Notes</t>
  </si>
  <si>
    <t>Revenue Supported Warrants</t>
  </si>
  <si>
    <t>Special Supported Bonds</t>
  </si>
  <si>
    <t>Special Supported Notes</t>
  </si>
  <si>
    <t>Special Supported Warrants</t>
  </si>
  <si>
    <t>Tax Supported Bonds</t>
  </si>
  <si>
    <t>Tax Supported Notes</t>
  </si>
  <si>
    <t>Tax Supported Warrants</t>
  </si>
  <si>
    <t>Tennesseee Valley Authority Notes</t>
  </si>
  <si>
    <t>Tenessee Valley Authority Bonds</t>
  </si>
  <si>
    <t>U.S. Postal Service Bonds</t>
  </si>
  <si>
    <t>U.S. Treasury Bills</t>
  </si>
  <si>
    <t>U.S. Treasury Bonds</t>
  </si>
  <si>
    <t>U.S. Treasury Notes</t>
  </si>
  <si>
    <t>U.S. Treasury Tax-Anticipation Bills</t>
  </si>
  <si>
    <t>Certificates of Deposit (CDs)</t>
  </si>
  <si>
    <t>Brokered CDs</t>
  </si>
  <si>
    <t>Treasury Bills</t>
  </si>
  <si>
    <t>Treasury Notes</t>
  </si>
  <si>
    <t>Discount Notes</t>
  </si>
  <si>
    <t>Fixed Coupon Notes</t>
  </si>
  <si>
    <t>Floating Rate Notes</t>
  </si>
  <si>
    <t>Callables</t>
  </si>
  <si>
    <t>American, or continuously following a lock-out period</t>
  </si>
  <si>
    <t>Europenan, or one time following a lock-out period</t>
  </si>
  <si>
    <t>Bermuda, only on a schedule of specific dates following a lock-out period</t>
  </si>
  <si>
    <t>Step-Ups</t>
  </si>
  <si>
    <t>Letters of Credit (LOCs)</t>
  </si>
  <si>
    <t>Mortgage-Backed Securities</t>
  </si>
  <si>
    <t>Ginnie Mae (GNMA) pass-throughs</t>
  </si>
  <si>
    <t>Freddie/Fannie pass-throughs</t>
  </si>
  <si>
    <t>Fannie/Freddie Collateralized Mortgage Obligations (CMOs) with PFIA limitations</t>
  </si>
  <si>
    <t>Municipal Securities</t>
  </si>
  <si>
    <t>State Obligations</t>
  </si>
  <si>
    <t>Texas Agency Obligations</t>
  </si>
  <si>
    <t>Other A-rated municipal debt anywhere in the U.S.</t>
  </si>
  <si>
    <t>Other Agencies</t>
  </si>
  <si>
    <t>Farmer Mac</t>
  </si>
  <si>
    <t>HUD</t>
  </si>
  <si>
    <t>TVA</t>
  </si>
  <si>
    <t>SBA</t>
  </si>
  <si>
    <t>3(a)3, 3(a)2 programs</t>
  </si>
  <si>
    <t>4(2) 144a (for qualified Institutional Buyers only)</t>
  </si>
  <si>
    <t xml:space="preserve">Corporate CP </t>
  </si>
  <si>
    <t>Municipal CP</t>
  </si>
  <si>
    <t>Repurchase Agreements (Repo)</t>
  </si>
  <si>
    <t>Overnight</t>
  </si>
  <si>
    <t>Term</t>
  </si>
  <si>
    <t>Flexible (Flex Repo)</t>
  </si>
  <si>
    <t>Reverse Repurchase Agreements (Reverse repo)</t>
  </si>
  <si>
    <t>Guaranteed Investment Contracts (GICs)</t>
  </si>
  <si>
    <t>Money Market Funds</t>
  </si>
  <si>
    <t>Collateralized/FHLB Letters of Credit/FDIC insured</t>
  </si>
  <si>
    <t>FDIC -Spreading Program CDs - CDARS</t>
  </si>
  <si>
    <t>GSEs - Freddie, Fannie, FHLB, FFCB Obligations</t>
  </si>
  <si>
    <t>FDIC - Insured Deposit Accounts</t>
  </si>
  <si>
    <t>Mutual Funds</t>
  </si>
  <si>
    <t>New Communitites Act Debentures</t>
  </si>
  <si>
    <t>IMPORTANT - Not all these invest types are eligible for PFIA investments. They are listed to show the various day count calculations.</t>
  </si>
  <si>
    <t>Federally Insured Cash Accounts - FICA</t>
  </si>
  <si>
    <t>Treasury Strips (Interest &amp; Principal)</t>
  </si>
  <si>
    <t>Not seeing much</t>
  </si>
  <si>
    <t>Caution on doubling up deposits.</t>
  </si>
  <si>
    <t xml:space="preserve">Insured Cash Sweeps (ICS) - DDA ad MMA.  </t>
  </si>
  <si>
    <t>Not seeing many of these</t>
  </si>
  <si>
    <t>Only apply as Deposit Collateral</t>
  </si>
  <si>
    <t xml:space="preserve">As Collateral, we are seeing some Commercial Mortgage Pools versus residential)      </t>
  </si>
  <si>
    <t>Not very common</t>
  </si>
  <si>
    <t>Not found any that meet PFIA restrictions, but there may be some</t>
  </si>
  <si>
    <t xml:space="preserve">Differentiation between Government and Prime, and the 2a-7 NAV and withdrawal limitations       </t>
  </si>
  <si>
    <t>INVESTMENT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</si>
</sst>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0.0000"/>
    <numFmt numFmtId="166" formatCode="0.0000%"/>
  </numFmts>
  <fonts count="18" x14ac:knownFonts="1">
    <font>
      <sz val="11"/>
      <color theme="1"/>
      <name val="Aptos Narrow"/>
      <family val="2"/>
      <scheme val="minor"/>
    </font>
    <font>
      <b/>
      <sz val="11"/>
      <color theme="1"/>
      <name val="Calibri"/>
      <family val="2"/>
    </font>
    <font>
      <sz val="11"/>
      <color theme="1"/>
      <name val="Calibri"/>
      <family val="2"/>
    </font>
    <font>
      <b/>
      <sz val="18"/>
      <color theme="1"/>
      <name val="Calibri"/>
      <family val="2"/>
    </font>
    <font>
      <sz val="9"/>
      <color indexed="81"/>
      <name val="Tahoma"/>
      <family val="2"/>
    </font>
    <font>
      <sz val="12"/>
      <color theme="1"/>
      <name val="Calibri"/>
      <family val="2"/>
    </font>
    <font>
      <b/>
      <sz val="12"/>
      <color theme="1"/>
      <name val="Calibri"/>
      <family val="2"/>
    </font>
    <font>
      <b/>
      <sz val="14"/>
      <color theme="1"/>
      <name val="Calibri"/>
      <family val="2"/>
    </font>
    <font>
      <sz val="14"/>
      <color theme="1"/>
      <name val="Calibri"/>
      <family val="2"/>
    </font>
    <font>
      <sz val="12"/>
      <color rgb="FF1E1E1E"/>
      <name val="Calibri"/>
      <family val="2"/>
    </font>
    <font>
      <u/>
      <sz val="18"/>
      <color theme="1"/>
      <name val="Calibri"/>
      <family val="2"/>
    </font>
    <font>
      <sz val="18"/>
      <color theme="1"/>
      <name val="Calibri"/>
      <family val="2"/>
    </font>
    <font>
      <b/>
      <sz val="11"/>
      <color theme="1"/>
      <name val="Aptos Narrow"/>
      <family val="2"/>
      <scheme val="minor"/>
    </font>
    <font>
      <sz val="12"/>
      <color rgb="FF000000"/>
      <name val="Arial"/>
      <family val="2"/>
    </font>
    <font>
      <sz val="11"/>
      <color theme="1"/>
      <name val="Arial"/>
      <family val="2"/>
    </font>
    <font>
      <b/>
      <sz val="11"/>
      <color theme="1"/>
      <name val="Arial"/>
      <family val="2"/>
    </font>
    <font>
      <u/>
      <sz val="11"/>
      <color theme="10"/>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3" tint="0.89996032593768116"/>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style="medium">
        <color auto="1"/>
      </bottom>
      <diagonal/>
    </border>
  </borders>
  <cellStyleXfs count="2">
    <xf numFmtId="0" fontId="0" fillId="0" borderId="0"/>
    <xf numFmtId="0" fontId="16" fillId="0" borderId="0" applyNumberFormat="0" applyFill="0" applyBorder="0" applyAlignment="0" applyProtection="0"/>
  </cellStyleXfs>
  <cellXfs count="107">
    <xf numFmtId="0" fontId="0" fillId="0" borderId="0" xfId="0"/>
    <xf numFmtId="0" fontId="2" fillId="0" borderId="0" xfId="0" applyFont="1" applyAlignment="1">
      <alignment textRotation="90"/>
    </xf>
    <xf numFmtId="0" fontId="2" fillId="0" borderId="0" xfId="0" applyFont="1"/>
    <xf numFmtId="0" fontId="2" fillId="0" borderId="0" xfId="0" applyFont="1" applyAlignment="1">
      <alignment horizontal="center" vertical="center"/>
    </xf>
    <xf numFmtId="0" fontId="3" fillId="0" borderId="0" xfId="0" applyFont="1" applyAlignment="1">
      <alignment textRotation="90"/>
    </xf>
    <xf numFmtId="0" fontId="3" fillId="0" borderId="0" xfId="0" applyFont="1"/>
    <xf numFmtId="0" fontId="2" fillId="0" borderId="0" xfId="0" applyFont="1" applyAlignment="1">
      <alignment horizontal="center"/>
    </xf>
    <xf numFmtId="0" fontId="1" fillId="0" borderId="0" xfId="0" applyFont="1" applyAlignment="1">
      <alignment horizontal="center"/>
    </xf>
    <xf numFmtId="0" fontId="1" fillId="0" borderId="0" xfId="0" applyFont="1"/>
    <xf numFmtId="0" fontId="3" fillId="0" borderId="0" xfId="0" applyFont="1" applyAlignment="1">
      <alignment horizontal="left" vertical="center" wrapText="1"/>
    </xf>
    <xf numFmtId="0" fontId="5" fillId="0" borderId="0" xfId="0" applyFont="1"/>
    <xf numFmtId="14" fontId="5" fillId="0" borderId="0" xfId="0" applyNumberFormat="1" applyFont="1"/>
    <xf numFmtId="0" fontId="5" fillId="0" borderId="0" xfId="0" applyFont="1" applyAlignment="1">
      <alignment horizontal="center"/>
    </xf>
    <xf numFmtId="4" fontId="6" fillId="0" borderId="1" xfId="0" applyNumberFormat="1" applyFont="1" applyBorder="1"/>
    <xf numFmtId="4" fontId="5" fillId="0" borderId="0" xfId="0" applyNumberFormat="1" applyFont="1"/>
    <xf numFmtId="10" fontId="5" fillId="0" borderId="0" xfId="0" applyNumberFormat="1" applyFont="1"/>
    <xf numFmtId="10" fontId="6" fillId="0" borderId="1" xfId="0" applyNumberFormat="1" applyFont="1" applyBorder="1"/>
    <xf numFmtId="2" fontId="6" fillId="0" borderId="1" xfId="0" applyNumberFormat="1" applyFont="1" applyBorder="1"/>
    <xf numFmtId="2" fontId="5" fillId="0" borderId="0" xfId="0" applyNumberFormat="1" applyFont="1"/>
    <xf numFmtId="0" fontId="7" fillId="0" borderId="0" xfId="0" applyFont="1"/>
    <xf numFmtId="0" fontId="8" fillId="0" borderId="0" xfId="0" applyFont="1"/>
    <xf numFmtId="0" fontId="2"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6" fillId="0" borderId="0" xfId="0" applyFont="1"/>
    <xf numFmtId="0" fontId="5" fillId="0" borderId="2" xfId="0" applyFont="1" applyBorder="1" applyAlignment="1">
      <alignment horizontal="center"/>
    </xf>
    <xf numFmtId="10" fontId="5" fillId="0" borderId="0" xfId="0" applyNumberFormat="1" applyFont="1" applyAlignment="1">
      <alignment horizontal="center"/>
    </xf>
    <xf numFmtId="1" fontId="5" fillId="0" borderId="0" xfId="0" applyNumberFormat="1" applyFont="1" applyAlignment="1">
      <alignment horizontal="center"/>
    </xf>
    <xf numFmtId="10" fontId="6" fillId="0" borderId="0" xfId="0" applyNumberFormat="1" applyFont="1"/>
    <xf numFmtId="1" fontId="5" fillId="0" borderId="0" xfId="0" applyNumberFormat="1" applyFont="1"/>
    <xf numFmtId="10" fontId="6" fillId="0" borderId="3" xfId="0" applyNumberFormat="1" applyFont="1" applyBorder="1"/>
    <xf numFmtId="0" fontId="7" fillId="2" borderId="1" xfId="0" applyFont="1" applyFill="1" applyBorder="1" applyAlignment="1">
      <alignment horizontal="center"/>
    </xf>
    <xf numFmtId="0" fontId="5" fillId="0" borderId="1" xfId="0" applyFont="1" applyBorder="1" applyAlignment="1">
      <alignment horizontal="center"/>
    </xf>
    <xf numFmtId="0" fontId="6" fillId="2" borderId="5" xfId="0" applyFont="1" applyFill="1" applyBorder="1" applyAlignment="1">
      <alignment horizontal="center"/>
    </xf>
    <xf numFmtId="0" fontId="5" fillId="2" borderId="6" xfId="0" applyFont="1" applyFill="1" applyBorder="1"/>
    <xf numFmtId="0" fontId="5" fillId="0" borderId="4" xfId="0" applyFont="1" applyBorder="1" applyAlignment="1">
      <alignment horizontal="center"/>
    </xf>
    <xf numFmtId="4" fontId="5" fillId="0" borderId="4" xfId="0" applyNumberFormat="1" applyFont="1" applyBorder="1"/>
    <xf numFmtId="4" fontId="5" fillId="0" borderId="4" xfId="0" applyNumberFormat="1" applyFont="1" applyBorder="1" applyAlignment="1">
      <alignment horizontal="center"/>
    </xf>
    <xf numFmtId="0" fontId="6" fillId="0" borderId="1" xfId="0" applyFont="1" applyBorder="1"/>
    <xf numFmtId="4" fontId="6" fillId="0" borderId="0" xfId="0" applyNumberFormat="1" applyFont="1"/>
    <xf numFmtId="0" fontId="5" fillId="0" borderId="0" xfId="0" quotePrefix="1" applyFont="1" applyAlignment="1">
      <alignment horizontal="center"/>
    </xf>
    <xf numFmtId="4" fontId="5" fillId="0" borderId="0" xfId="0" applyNumberFormat="1" applyFont="1" applyAlignment="1">
      <alignment horizontal="center"/>
    </xf>
    <xf numFmtId="40" fontId="6" fillId="0" borderId="1" xfId="0" applyNumberFormat="1" applyFont="1" applyBorder="1"/>
    <xf numFmtId="8" fontId="6" fillId="0" borderId="1" xfId="0" applyNumberFormat="1" applyFont="1" applyBorder="1"/>
    <xf numFmtId="8" fontId="5" fillId="0" borderId="0" xfId="0" applyNumberFormat="1" applyFont="1"/>
    <xf numFmtId="10" fontId="5" fillId="0" borderId="4" xfId="0" applyNumberFormat="1" applyFont="1" applyBorder="1" applyAlignment="1">
      <alignment horizontal="center"/>
    </xf>
    <xf numFmtId="10" fontId="5" fillId="0" borderId="0" xfId="0" quotePrefix="1" applyNumberFormat="1" applyFont="1" applyAlignment="1">
      <alignment horizontal="center"/>
    </xf>
    <xf numFmtId="8" fontId="6" fillId="0" borderId="0" xfId="0" applyNumberFormat="1" applyFont="1"/>
    <xf numFmtId="164" fontId="5" fillId="0" borderId="0" xfId="0" applyNumberFormat="1" applyFont="1"/>
    <xf numFmtId="2" fontId="5" fillId="0" borderId="0" xfId="0" applyNumberFormat="1" applyFont="1" applyAlignment="1">
      <alignment horizontal="left"/>
    </xf>
    <xf numFmtId="9" fontId="5" fillId="0" borderId="0" xfId="0" applyNumberFormat="1" applyFont="1"/>
    <xf numFmtId="0" fontId="5" fillId="0" borderId="2" xfId="0" applyFont="1" applyBorder="1"/>
    <xf numFmtId="2" fontId="5" fillId="0" borderId="0" xfId="0" applyNumberFormat="1" applyFont="1" applyAlignment="1">
      <alignment horizontal="center"/>
    </xf>
    <xf numFmtId="2" fontId="5" fillId="0" borderId="0" xfId="0" quotePrefix="1" applyNumberFormat="1" applyFont="1" applyAlignment="1">
      <alignment horizontal="center"/>
    </xf>
    <xf numFmtId="165" fontId="5" fillId="0" borderId="0" xfId="0" applyNumberFormat="1" applyFont="1" applyAlignment="1">
      <alignment horizontal="center"/>
    </xf>
    <xf numFmtId="3" fontId="5" fillId="0" borderId="0" xfId="0" applyNumberFormat="1" applyFont="1"/>
    <xf numFmtId="0" fontId="9" fillId="0" borderId="0" xfId="0" applyFont="1"/>
    <xf numFmtId="0" fontId="1" fillId="0" borderId="1" xfId="0" applyFont="1" applyBorder="1" applyAlignment="1">
      <alignment horizontal="center"/>
    </xf>
    <xf numFmtId="14" fontId="2" fillId="0" borderId="0" xfId="0" applyNumberFormat="1" applyFont="1"/>
    <xf numFmtId="14" fontId="1" fillId="0" borderId="1" xfId="0" applyNumberFormat="1" applyFont="1" applyBorder="1" applyAlignment="1">
      <alignment horizontal="center"/>
    </xf>
    <xf numFmtId="1" fontId="1" fillId="0" borderId="1" xfId="0" applyNumberFormat="1" applyFont="1" applyBorder="1" applyAlignment="1">
      <alignment horizontal="center"/>
    </xf>
    <xf numFmtId="0" fontId="1" fillId="0" borderId="4" xfId="0" applyFont="1" applyBorder="1" applyAlignment="1">
      <alignment horizontal="center"/>
    </xf>
    <xf numFmtId="4" fontId="2" fillId="0" borderId="4" xfId="0" applyNumberFormat="1" applyFont="1" applyBorder="1"/>
    <xf numFmtId="166" fontId="2" fillId="0" borderId="4" xfId="0" applyNumberFormat="1" applyFont="1" applyBorder="1"/>
    <xf numFmtId="10" fontId="2" fillId="0" borderId="4" xfId="0" applyNumberFormat="1" applyFont="1" applyBorder="1"/>
    <xf numFmtId="4" fontId="1" fillId="0" borderId="1" xfId="0" applyNumberFormat="1" applyFont="1" applyBorder="1"/>
    <xf numFmtId="0" fontId="7" fillId="0" borderId="7" xfId="0" applyFont="1" applyBorder="1"/>
    <xf numFmtId="0" fontId="5" fillId="0" borderId="8" xfId="0" applyFont="1" applyBorder="1"/>
    <xf numFmtId="0" fontId="2" fillId="0" borderId="9" xfId="0" applyFont="1" applyBorder="1"/>
    <xf numFmtId="0" fontId="5" fillId="0" borderId="10" xfId="0" applyFont="1" applyBorder="1"/>
    <xf numFmtId="0" fontId="2" fillId="0" borderId="11" xfId="0" applyFont="1" applyBorder="1"/>
    <xf numFmtId="0" fontId="7" fillId="0" borderId="10" xfId="0" applyFont="1" applyBorder="1"/>
    <xf numFmtId="0" fontId="5" fillId="0" borderId="12" xfId="0" applyFont="1" applyBorder="1"/>
    <xf numFmtId="4" fontId="5" fillId="0" borderId="2" xfId="0" applyNumberFormat="1" applyFont="1" applyBorder="1"/>
    <xf numFmtId="0" fontId="2" fillId="0" borderId="13" xfId="0" applyFont="1" applyBorder="1"/>
    <xf numFmtId="0" fontId="2" fillId="0" borderId="7" xfId="0" applyFont="1" applyBorder="1"/>
    <xf numFmtId="0" fontId="2" fillId="0" borderId="8" xfId="0" applyFont="1" applyBorder="1"/>
    <xf numFmtId="0" fontId="2" fillId="0" borderId="12" xfId="0" applyFont="1" applyBorder="1"/>
    <xf numFmtId="0" fontId="2" fillId="0" borderId="2" xfId="0" applyFont="1" applyBorder="1"/>
    <xf numFmtId="4" fontId="2" fillId="0" borderId="9" xfId="0" applyNumberFormat="1" applyFont="1" applyBorder="1"/>
    <xf numFmtId="0" fontId="2" fillId="0" borderId="10" xfId="0" applyFont="1" applyBorder="1"/>
    <xf numFmtId="10" fontId="2" fillId="0" borderId="11" xfId="0" applyNumberFormat="1" applyFont="1" applyBorder="1"/>
    <xf numFmtId="0" fontId="1" fillId="0" borderId="7" xfId="0" applyFont="1" applyBorder="1"/>
    <xf numFmtId="0" fontId="1" fillId="0" borderId="14" xfId="0" applyFont="1" applyBorder="1" applyAlignment="1">
      <alignment horizontal="center"/>
    </xf>
    <xf numFmtId="4" fontId="2" fillId="0" borderId="0" xfId="0" applyNumberFormat="1" applyFont="1"/>
    <xf numFmtId="166" fontId="2" fillId="0" borderId="0" xfId="0" applyNumberFormat="1" applyFont="1"/>
    <xf numFmtId="10" fontId="2" fillId="0" borderId="0" xfId="0" applyNumberFormat="1" applyFont="1"/>
    <xf numFmtId="166" fontId="2" fillId="0" borderId="11" xfId="0" applyNumberFormat="1" applyFont="1" applyBorder="1"/>
    <xf numFmtId="166" fontId="2" fillId="0" borderId="14" xfId="0" applyNumberFormat="1" applyFont="1" applyBorder="1"/>
    <xf numFmtId="4" fontId="1" fillId="0" borderId="2" xfId="0" applyNumberFormat="1" applyFont="1" applyBorder="1"/>
    <xf numFmtId="166" fontId="1" fillId="0" borderId="2" xfId="0" applyNumberFormat="1" applyFont="1" applyBorder="1"/>
    <xf numFmtId="10" fontId="1" fillId="0" borderId="2" xfId="0" applyNumberFormat="1" applyFont="1" applyBorder="1"/>
    <xf numFmtId="166" fontId="1" fillId="0" borderId="13" xfId="0" applyNumberFormat="1" applyFont="1" applyBorder="1"/>
    <xf numFmtId="0" fontId="10" fillId="0" borderId="7" xfId="0" applyFont="1" applyBorder="1"/>
    <xf numFmtId="0" fontId="11" fillId="0" borderId="2" xfId="0" applyFont="1" applyBorder="1"/>
    <xf numFmtId="0" fontId="13"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horizontal="left" vertical="center"/>
    </xf>
    <xf numFmtId="0" fontId="14" fillId="0" borderId="0" xfId="0" quotePrefix="1" applyFont="1" applyAlignment="1">
      <alignment horizontal="left" vertical="center"/>
    </xf>
    <xf numFmtId="0" fontId="12" fillId="0" borderId="0" xfId="0" applyFont="1"/>
    <xf numFmtId="0" fontId="16" fillId="0" borderId="0" xfId="1"/>
    <xf numFmtId="0" fontId="0" fillId="0" borderId="0" xfId="0" applyAlignment="1">
      <alignment horizontal="center" vertical="center"/>
    </xf>
    <xf numFmtId="0" fontId="12" fillId="3" borderId="1" xfId="0" applyFont="1" applyFill="1" applyBorder="1" applyAlignment="1">
      <alignment horizontal="center" vertical="center" wrapText="1"/>
    </xf>
    <xf numFmtId="0" fontId="17" fillId="0" borderId="0" xfId="0" applyFont="1" applyAlignment="1">
      <alignment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3" Type="http://schemas.openxmlformats.org/officeDocument/2006/relationships/hyperlink" Target="https://www.txdot.gov/" TargetMode="External"/><Relationship Id="rId18" Type="http://schemas.openxmlformats.org/officeDocument/2006/relationships/hyperlink" Target="https://lbb.texas.gov/default.aspx" TargetMode="External"/><Relationship Id="rId26" Type="http://schemas.openxmlformats.org/officeDocument/2006/relationships/hyperlink" Target="https://awbd.org/" TargetMode="External"/><Relationship Id="rId39" Type="http://schemas.openxmlformats.org/officeDocument/2006/relationships/hyperlink" Target="https://www.tml.org/" TargetMode="External"/><Relationship Id="rId21" Type="http://schemas.openxmlformats.org/officeDocument/2006/relationships/hyperlink" Target="https://www.tsbpa.texas.gov/" TargetMode="External"/><Relationship Id="rId34" Type="http://schemas.openxmlformats.org/officeDocument/2006/relationships/hyperlink" Target="https://txregionalcouncil.org/" TargetMode="External"/><Relationship Id="rId42" Type="http://schemas.openxmlformats.org/officeDocument/2006/relationships/hyperlink" Target="https://www.nctcog.org/training-development-institute" TargetMode="External"/><Relationship Id="rId47" Type="http://schemas.openxmlformats.org/officeDocument/2006/relationships/hyperlink" Target="https://emma.msrb.org/" TargetMode="External"/><Relationship Id="rId50" Type="http://schemas.openxmlformats.org/officeDocument/2006/relationships/hyperlink" Target="https://www.federalreserve.gov/" TargetMode="External"/><Relationship Id="rId55" Type="http://schemas.openxmlformats.org/officeDocument/2006/relationships/hyperlink" Target="https://www.investopedia.com/" TargetMode="External"/><Relationship Id="rId63" Type="http://schemas.openxmlformats.org/officeDocument/2006/relationships/hyperlink" Target="https://www.spglobal.com/en" TargetMode="External"/><Relationship Id="rId68" Type="http://schemas.openxmlformats.org/officeDocument/2006/relationships/hyperlink" Target="https://www.fanniemae.com/" TargetMode="External"/><Relationship Id="rId76" Type="http://schemas.openxmlformats.org/officeDocument/2006/relationships/hyperlink" Target="https://www.hilltopsecurities.com/asset-management/" TargetMode="External"/><Relationship Id="rId7" Type="http://schemas.openxmlformats.org/officeDocument/2006/relationships/hyperlink" Target="https://statutes.capitol.texas.gov/Docs/LG/htm/LG.102.htm" TargetMode="External"/><Relationship Id="rId71" Type="http://schemas.openxmlformats.org/officeDocument/2006/relationships/hyperlink" Target="https://www.texasclass.com/" TargetMode="External"/><Relationship Id="rId2" Type="http://schemas.openxmlformats.org/officeDocument/2006/relationships/hyperlink" Target="https://statutes.capitol.texas.gov/Docs/GV/htm/GV.2257.htm" TargetMode="External"/><Relationship Id="rId16" Type="http://schemas.openxmlformats.org/officeDocument/2006/relationships/hyperlink" Target="https://www.ethics.state.tx.us/" TargetMode="External"/><Relationship Id="rId29" Type="http://schemas.openxmlformats.org/officeDocument/2006/relationships/hyperlink" Target="https://www.mactexas.com/" TargetMode="External"/><Relationship Id="rId11" Type="http://schemas.openxmlformats.org/officeDocument/2006/relationships/hyperlink" Target="https://dir.texas.gov/" TargetMode="External"/><Relationship Id="rId24" Type="http://schemas.openxmlformats.org/officeDocument/2006/relationships/hyperlink" Target="https://texaswaterassociation.org/" TargetMode="External"/><Relationship Id="rId32" Type="http://schemas.openxmlformats.org/officeDocument/2006/relationships/hyperlink" Target="https://www.county.org/" TargetMode="External"/><Relationship Id="rId37" Type="http://schemas.openxmlformats.org/officeDocument/2006/relationships/hyperlink" Target="https://www.tasbo.org/" TargetMode="External"/><Relationship Id="rId40" Type="http://schemas.openxmlformats.org/officeDocument/2006/relationships/hyperlink" Target="https://www.trwa.org/" TargetMode="External"/><Relationship Id="rId45" Type="http://schemas.openxmlformats.org/officeDocument/2006/relationships/hyperlink" Target="https://www.sifma.org/" TargetMode="External"/><Relationship Id="rId53" Type="http://schemas.openxmlformats.org/officeDocument/2006/relationships/hyperlink" Target="https://www.frbservices.org/financial-services/fednow/" TargetMode="External"/><Relationship Id="rId58" Type="http://schemas.openxmlformats.org/officeDocument/2006/relationships/hyperlink" Target="https://www.ffiec.gov/" TargetMode="External"/><Relationship Id="rId66" Type="http://schemas.openxmlformats.org/officeDocument/2006/relationships/hyperlink" Target="https://www.freddiemac.com/" TargetMode="External"/><Relationship Id="rId74" Type="http://schemas.openxmlformats.org/officeDocument/2006/relationships/hyperlink" Target="https://www.texpool.com/texPool/home.do" TargetMode="External"/><Relationship Id="rId5" Type="http://schemas.openxmlformats.org/officeDocument/2006/relationships/hyperlink" Target="https://comptroller.texas.gov/" TargetMode="External"/><Relationship Id="rId15" Type="http://schemas.openxmlformats.org/officeDocument/2006/relationships/hyperlink" Target="https://tea.texas.gov/" TargetMode="External"/><Relationship Id="rId23" Type="http://schemas.openxmlformats.org/officeDocument/2006/relationships/hyperlink" Target="https://www.ssb.texas.gov/" TargetMode="External"/><Relationship Id="rId28" Type="http://schemas.openxmlformats.org/officeDocument/2006/relationships/hyperlink" Target="https://gtot.nctcog.org/" TargetMode="External"/><Relationship Id="rId36" Type="http://schemas.openxmlformats.org/officeDocument/2006/relationships/hyperlink" Target="https://www.tasb.org/" TargetMode="External"/><Relationship Id="rId49" Type="http://schemas.openxmlformats.org/officeDocument/2006/relationships/hyperlink" Target="https://www.fdic.gov/" TargetMode="External"/><Relationship Id="rId57" Type="http://schemas.openxmlformats.org/officeDocument/2006/relationships/hyperlink" Target="https://home.treasury.gov/" TargetMode="External"/><Relationship Id="rId61" Type="http://schemas.openxmlformats.org/officeDocument/2006/relationships/hyperlink" Target="https://www.fitchratings.com/" TargetMode="External"/><Relationship Id="rId10" Type="http://schemas.openxmlformats.org/officeDocument/2006/relationships/hyperlink" Target="https://tdem.texas.gov/" TargetMode="External"/><Relationship Id="rId19" Type="http://schemas.openxmlformats.org/officeDocument/2006/relationships/hyperlink" Target="https://www.tpfa.state.tx.us/" TargetMode="External"/><Relationship Id="rId31" Type="http://schemas.openxmlformats.org/officeDocument/2006/relationships/hyperlink" Target="https://taad.org/" TargetMode="External"/><Relationship Id="rId44" Type="http://schemas.openxmlformats.org/officeDocument/2006/relationships/hyperlink" Target="https://www.finra.org/" TargetMode="External"/><Relationship Id="rId52" Type="http://schemas.openxmlformats.org/officeDocument/2006/relationships/hyperlink" Target="https://fraser.stlouisfed.org/" TargetMode="External"/><Relationship Id="rId60" Type="http://schemas.openxmlformats.org/officeDocument/2006/relationships/hyperlink" Target="https://ncua.gov/support-services/share-insurance-fund" TargetMode="External"/><Relationship Id="rId65" Type="http://schemas.openxmlformats.org/officeDocument/2006/relationships/hyperlink" Target="https://www.farmermac.com/" TargetMode="External"/><Relationship Id="rId73" Type="http://schemas.openxmlformats.org/officeDocument/2006/relationships/hyperlink" Target="https://www.texas-range.com/" TargetMode="External"/><Relationship Id="rId4" Type="http://schemas.openxmlformats.org/officeDocument/2006/relationships/hyperlink" Target="https://www.tceq.texas.gov/" TargetMode="External"/><Relationship Id="rId9" Type="http://schemas.openxmlformats.org/officeDocument/2006/relationships/hyperlink" Target="https://www.dob.texas.gov/" TargetMode="External"/><Relationship Id="rId14" Type="http://schemas.openxmlformats.org/officeDocument/2006/relationships/hyperlink" Target="https://gov.texas.gov/business" TargetMode="External"/><Relationship Id="rId22" Type="http://schemas.openxmlformats.org/officeDocument/2006/relationships/hyperlink" Target="https://www.tsl.texas.gov/" TargetMode="External"/><Relationship Id="rId27" Type="http://schemas.openxmlformats.org/officeDocument/2006/relationships/hyperlink" Target="https://gfoat.org/" TargetMode="External"/><Relationship Id="rId30" Type="http://schemas.openxmlformats.org/officeDocument/2006/relationships/hyperlink" Target="https://icma.org/" TargetMode="External"/><Relationship Id="rId35" Type="http://schemas.openxmlformats.org/officeDocument/2006/relationships/hyperlink" Target="https://tasanet.org/" TargetMode="External"/><Relationship Id="rId43" Type="http://schemas.openxmlformats.org/officeDocument/2006/relationships/hyperlink" Target="https://txshare.org/" TargetMode="External"/><Relationship Id="rId48" Type="http://schemas.openxmlformats.org/officeDocument/2006/relationships/hyperlink" Target="https://www.sec.gov/" TargetMode="External"/><Relationship Id="rId56" Type="http://schemas.openxmlformats.org/officeDocument/2006/relationships/hyperlink" Target="https://www.treasurydirect.gov/" TargetMode="External"/><Relationship Id="rId64" Type="http://schemas.openxmlformats.org/officeDocument/2006/relationships/hyperlink" Target="https://www.fca.gov/" TargetMode="External"/><Relationship Id="rId69" Type="http://schemas.openxmlformats.org/officeDocument/2006/relationships/hyperlink" Target="https://www.ginniemae.gov/pages/default.aspx" TargetMode="External"/><Relationship Id="rId77" Type="http://schemas.openxmlformats.org/officeDocument/2006/relationships/hyperlink" Target="https://valleyviewconsultingllc.com/" TargetMode="External"/><Relationship Id="rId8" Type="http://schemas.openxmlformats.org/officeDocument/2006/relationships/hyperlink" Target="https://statutes.capitol.texas.gov/docs/lg/htm/lg.105.htm" TargetMode="External"/><Relationship Id="rId51" Type="http://schemas.openxmlformats.org/officeDocument/2006/relationships/hyperlink" Target="https://www.dallasfed.org/" TargetMode="External"/><Relationship Id="rId72" Type="http://schemas.openxmlformats.org/officeDocument/2006/relationships/hyperlink" Target="https://tx-fit.com/" TargetMode="External"/><Relationship Id="rId3" Type="http://schemas.openxmlformats.org/officeDocument/2006/relationships/hyperlink" Target="https://www.brb.texas.gov/" TargetMode="External"/><Relationship Id="rId12" Type="http://schemas.openxmlformats.org/officeDocument/2006/relationships/hyperlink" Target="https://www.dps.texas.gov/" TargetMode="External"/><Relationship Id="rId17" Type="http://schemas.openxmlformats.org/officeDocument/2006/relationships/hyperlink" Target="https://www.fc.texas.gov/" TargetMode="External"/><Relationship Id="rId25" Type="http://schemas.openxmlformats.org/officeDocument/2006/relationships/hyperlink" Target="https://www.aptusc.org/" TargetMode="External"/><Relationship Id="rId33" Type="http://schemas.openxmlformats.org/officeDocument/2006/relationships/hyperlink" Target="https://www.texascountyauditors.org/" TargetMode="External"/><Relationship Id="rId38" Type="http://schemas.openxmlformats.org/officeDocument/2006/relationships/hyperlink" Target="https://municlerks.unt.edu/index.html" TargetMode="External"/><Relationship Id="rId46" Type="http://schemas.openxmlformats.org/officeDocument/2006/relationships/hyperlink" Target="https://www.msrb.org/" TargetMode="External"/><Relationship Id="rId59" Type="http://schemas.openxmlformats.org/officeDocument/2006/relationships/hyperlink" Target="https://www.fdic.gov/" TargetMode="External"/><Relationship Id="rId67" Type="http://schemas.openxmlformats.org/officeDocument/2006/relationships/hyperlink" Target="https://fhlbanks.com/" TargetMode="External"/><Relationship Id="rId20" Type="http://schemas.openxmlformats.org/officeDocument/2006/relationships/hyperlink" Target="https://sao.texas.gov/" TargetMode="External"/><Relationship Id="rId41" Type="http://schemas.openxmlformats.org/officeDocument/2006/relationships/hyperlink" Target="https://www.nctcog.org/" TargetMode="External"/><Relationship Id="rId54" Type="http://schemas.openxmlformats.org/officeDocument/2006/relationships/hyperlink" Target="https://www.gfoa.org/best-practices" TargetMode="External"/><Relationship Id="rId62" Type="http://schemas.openxmlformats.org/officeDocument/2006/relationships/hyperlink" Target="https://www.moodys.com/" TargetMode="External"/><Relationship Id="rId70" Type="http://schemas.openxmlformats.org/officeDocument/2006/relationships/hyperlink" Target="https://www.lonestarinvestmentpool.com/" TargetMode="External"/><Relationship Id="rId75" Type="http://schemas.openxmlformats.org/officeDocument/2006/relationships/hyperlink" Target="https://www.texstar.org/" TargetMode="External"/><Relationship Id="rId1" Type="http://schemas.openxmlformats.org/officeDocument/2006/relationships/hyperlink" Target="https://statutes.capitol.texas.gov/Docs/GV/htm/GV.2256.htm:" TargetMode="External"/><Relationship Id="rId6" Type="http://schemas.openxmlformats.org/officeDocument/2006/relationships/hyperlink" Target="https://statutes.capitol.texas.gov/Index.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B0FF-CA50-42AE-A931-08DD0DBEBA45}">
  <sheetPr>
    <tabColor rgb="FF00B0F0"/>
  </sheetPr>
  <dimension ref="A1:V66"/>
  <sheetViews>
    <sheetView zoomScaleNormal="100" workbookViewId="0">
      <pane ySplit="2" topLeftCell="A3" activePane="bottomLeft" state="frozen"/>
      <selection pane="bottomLeft"/>
    </sheetView>
  </sheetViews>
  <sheetFormatPr defaultRowHeight="15" x14ac:dyDescent="0.25"/>
  <cols>
    <col min="1" max="1" width="41.5703125" style="2" customWidth="1"/>
    <col min="2" max="21" width="4.7109375" style="2" customWidth="1"/>
    <col min="22" max="22" width="9.28515625" style="6" bestFit="1" customWidth="1"/>
    <col min="23" max="25" width="15.7109375" style="2" customWidth="1"/>
    <col min="26" max="16384" width="9.140625" style="2"/>
  </cols>
  <sheetData>
    <row r="1" spans="1:22" ht="37.5" customHeight="1" x14ac:dyDescent="0.35">
      <c r="A1" s="5" t="s">
        <v>85</v>
      </c>
      <c r="R1" s="8" t="s">
        <v>86</v>
      </c>
    </row>
    <row r="2" spans="1:22" ht="83.25" x14ac:dyDescent="0.25">
      <c r="A2" s="4" t="s">
        <v>81</v>
      </c>
      <c r="B2" s="1" t="s">
        <v>32</v>
      </c>
      <c r="C2" s="1" t="s">
        <v>33</v>
      </c>
      <c r="D2" s="1" t="s">
        <v>34</v>
      </c>
      <c r="E2" s="1" t="s">
        <v>35</v>
      </c>
      <c r="F2" s="1" t="s">
        <v>36</v>
      </c>
      <c r="G2" s="1" t="s">
        <v>52</v>
      </c>
      <c r="H2" s="1" t="s">
        <v>37</v>
      </c>
      <c r="I2" s="1" t="s">
        <v>38</v>
      </c>
      <c r="J2" s="1" t="s">
        <v>39</v>
      </c>
      <c r="K2" s="1" t="s">
        <v>50</v>
      </c>
      <c r="L2" s="1" t="s">
        <v>40</v>
      </c>
      <c r="M2" s="1" t="s">
        <v>41</v>
      </c>
      <c r="N2" s="1" t="s">
        <v>42</v>
      </c>
      <c r="O2" s="1" t="s">
        <v>43</v>
      </c>
      <c r="P2" s="1" t="s">
        <v>44</v>
      </c>
      <c r="Q2" s="1" t="s">
        <v>45</v>
      </c>
      <c r="R2" s="1" t="s">
        <v>46</v>
      </c>
      <c r="S2" s="1" t="s">
        <v>47</v>
      </c>
      <c r="T2" s="1" t="s">
        <v>48</v>
      </c>
      <c r="U2" s="1" t="s">
        <v>87</v>
      </c>
      <c r="V2" s="7" t="s">
        <v>83</v>
      </c>
    </row>
    <row r="3" spans="1:22" ht="23.25" x14ac:dyDescent="0.35">
      <c r="A3" s="5" t="s">
        <v>82</v>
      </c>
    </row>
    <row r="4" spans="1:22" x14ac:dyDescent="0.25">
      <c r="A4" s="2" t="s">
        <v>19</v>
      </c>
      <c r="B4" s="3"/>
      <c r="C4" s="3"/>
      <c r="D4" s="3"/>
      <c r="E4" s="3"/>
      <c r="F4" s="3"/>
      <c r="G4" s="3" t="s">
        <v>49</v>
      </c>
      <c r="H4" s="3"/>
      <c r="I4" s="3"/>
      <c r="J4" s="3"/>
      <c r="K4" s="3"/>
      <c r="L4" s="3" t="s">
        <v>49</v>
      </c>
      <c r="M4" s="3"/>
      <c r="N4" s="3" t="s">
        <v>49</v>
      </c>
      <c r="O4" s="3"/>
      <c r="P4" s="3"/>
      <c r="Q4" s="3"/>
      <c r="R4" s="3"/>
      <c r="S4" s="3"/>
      <c r="T4" s="3"/>
      <c r="U4" s="3"/>
      <c r="V4" s="6">
        <f>SUBTOTAL(3,B4:T4)</f>
        <v>3</v>
      </c>
    </row>
    <row r="5" spans="1:22" x14ac:dyDescent="0.25">
      <c r="A5" s="2" t="s">
        <v>59</v>
      </c>
      <c r="B5" s="3"/>
      <c r="C5" s="3"/>
      <c r="D5" s="3"/>
      <c r="E5" s="3"/>
      <c r="F5" s="3"/>
      <c r="G5" s="3"/>
      <c r="H5" s="3"/>
      <c r="I5" s="3"/>
      <c r="J5" s="3"/>
      <c r="K5" s="3" t="s">
        <v>49</v>
      </c>
      <c r="L5" s="3"/>
      <c r="M5" s="3"/>
      <c r="N5" s="3"/>
      <c r="O5" s="3"/>
      <c r="P5" s="3"/>
      <c r="Q5" s="3"/>
      <c r="R5" s="3"/>
      <c r="S5" s="3"/>
      <c r="T5" s="3"/>
      <c r="U5" s="3" t="s">
        <v>49</v>
      </c>
      <c r="V5" s="6">
        <f t="shared" ref="V5:V65" si="0">SUBTOTAL(3,B5:T5)</f>
        <v>1</v>
      </c>
    </row>
    <row r="6" spans="1:22" x14ac:dyDescent="0.25">
      <c r="A6" s="2" t="s">
        <v>0</v>
      </c>
      <c r="B6" s="3" t="s">
        <v>49</v>
      </c>
      <c r="C6" s="3"/>
      <c r="D6" s="3"/>
      <c r="E6" s="3"/>
      <c r="F6" s="3" t="s">
        <v>49</v>
      </c>
      <c r="G6" s="3"/>
      <c r="H6" s="3"/>
      <c r="I6" s="3"/>
      <c r="J6" s="3"/>
      <c r="K6" s="3"/>
      <c r="L6" s="3"/>
      <c r="M6" s="3"/>
      <c r="N6" s="3"/>
      <c r="O6" s="3"/>
      <c r="P6" s="3" t="s">
        <v>49</v>
      </c>
      <c r="Q6" s="3"/>
      <c r="R6" s="3"/>
      <c r="S6" s="3"/>
      <c r="T6" s="3"/>
      <c r="U6" s="3"/>
      <c r="V6" s="6">
        <f t="shared" si="0"/>
        <v>3</v>
      </c>
    </row>
    <row r="7" spans="1:22" x14ac:dyDescent="0.25">
      <c r="A7" s="2" t="s">
        <v>28</v>
      </c>
      <c r="B7" s="3"/>
      <c r="C7" s="3"/>
      <c r="D7" s="3"/>
      <c r="E7" s="3"/>
      <c r="F7" s="3"/>
      <c r="G7" s="3"/>
      <c r="H7" s="3"/>
      <c r="I7" s="3"/>
      <c r="J7" s="3" t="s">
        <v>49</v>
      </c>
      <c r="K7" s="3"/>
      <c r="L7" s="3"/>
      <c r="M7" s="3"/>
      <c r="N7" s="3"/>
      <c r="O7" s="3"/>
      <c r="P7" s="3"/>
      <c r="Q7" s="3"/>
      <c r="R7" s="3"/>
      <c r="S7" s="3"/>
      <c r="T7" s="3"/>
      <c r="U7" s="3"/>
      <c r="V7" s="6">
        <f t="shared" si="0"/>
        <v>1</v>
      </c>
    </row>
    <row r="8" spans="1:22" x14ac:dyDescent="0.25">
      <c r="A8" s="2" t="s">
        <v>79</v>
      </c>
      <c r="B8" s="3"/>
      <c r="C8" s="3"/>
      <c r="D8" s="3"/>
      <c r="E8" s="3"/>
      <c r="F8" s="3"/>
      <c r="G8" s="3"/>
      <c r="H8" s="3" t="s">
        <v>49</v>
      </c>
      <c r="I8" s="3"/>
      <c r="J8" s="3"/>
      <c r="K8" s="3"/>
      <c r="L8" s="3"/>
      <c r="M8" s="3" t="s">
        <v>49</v>
      </c>
      <c r="N8" s="3"/>
      <c r="O8" s="3"/>
      <c r="P8" s="3"/>
      <c r="Q8" s="3"/>
      <c r="R8" s="3"/>
      <c r="S8" s="3"/>
      <c r="T8" s="3"/>
      <c r="U8" s="3"/>
      <c r="V8" s="6">
        <f t="shared" si="0"/>
        <v>2</v>
      </c>
    </row>
    <row r="9" spans="1:22" x14ac:dyDescent="0.25">
      <c r="A9" s="2" t="s">
        <v>55</v>
      </c>
      <c r="B9" s="3"/>
      <c r="C9" s="3"/>
      <c r="D9" s="3"/>
      <c r="E9" s="3"/>
      <c r="F9" s="3"/>
      <c r="G9" s="3"/>
      <c r="H9" s="3"/>
      <c r="I9" s="3"/>
      <c r="J9" s="3"/>
      <c r="K9" s="3" t="s">
        <v>49</v>
      </c>
      <c r="L9" s="3"/>
      <c r="M9" s="3"/>
      <c r="N9" s="3"/>
      <c r="O9" s="3"/>
      <c r="P9" s="3"/>
      <c r="Q9" s="3"/>
      <c r="R9" s="3"/>
      <c r="S9" s="3"/>
      <c r="T9" s="3"/>
      <c r="U9" s="3" t="s">
        <v>49</v>
      </c>
      <c r="V9" s="6">
        <f t="shared" si="0"/>
        <v>1</v>
      </c>
    </row>
    <row r="10" spans="1:22" x14ac:dyDescent="0.25">
      <c r="A10" s="2" t="s">
        <v>1</v>
      </c>
      <c r="B10" s="3" t="s">
        <v>49</v>
      </c>
      <c r="C10" s="3"/>
      <c r="D10" s="3"/>
      <c r="E10" s="3" t="s">
        <v>49</v>
      </c>
      <c r="F10" s="3" t="s">
        <v>49</v>
      </c>
      <c r="G10" s="3" t="s">
        <v>49</v>
      </c>
      <c r="H10" s="3" t="s">
        <v>49</v>
      </c>
      <c r="I10" s="3" t="s">
        <v>49</v>
      </c>
      <c r="J10" s="3"/>
      <c r="K10" s="3" t="s">
        <v>49</v>
      </c>
      <c r="L10" s="3" t="s">
        <v>49</v>
      </c>
      <c r="M10" s="3"/>
      <c r="N10" s="3" t="s">
        <v>49</v>
      </c>
      <c r="O10" s="3" t="s">
        <v>49</v>
      </c>
      <c r="P10" s="3" t="s">
        <v>49</v>
      </c>
      <c r="Q10" s="3" t="s">
        <v>49</v>
      </c>
      <c r="R10" s="3" t="s">
        <v>49</v>
      </c>
      <c r="S10" s="3"/>
      <c r="T10" s="3" t="s">
        <v>49</v>
      </c>
      <c r="U10" s="3" t="s">
        <v>49</v>
      </c>
      <c r="V10" s="6">
        <f t="shared" si="0"/>
        <v>14</v>
      </c>
    </row>
    <row r="11" spans="1:22" x14ac:dyDescent="0.25">
      <c r="A11" s="2" t="s">
        <v>63</v>
      </c>
      <c r="B11" s="3"/>
      <c r="C11" s="3"/>
      <c r="D11" s="3"/>
      <c r="E11" s="3"/>
      <c r="F11" s="3"/>
      <c r="G11" s="3"/>
      <c r="H11" s="3"/>
      <c r="I11" s="3"/>
      <c r="J11" s="3"/>
      <c r="K11" s="3"/>
      <c r="L11" s="3"/>
      <c r="M11" s="3" t="s">
        <v>49</v>
      </c>
      <c r="N11" s="3"/>
      <c r="O11" s="3"/>
      <c r="P11" s="3"/>
      <c r="Q11" s="3"/>
      <c r="R11" s="3"/>
      <c r="S11" s="3"/>
      <c r="T11" s="3"/>
      <c r="U11" s="3"/>
      <c r="V11" s="6">
        <f t="shared" si="0"/>
        <v>1</v>
      </c>
    </row>
    <row r="12" spans="1:22" x14ac:dyDescent="0.25">
      <c r="A12" s="2" t="s">
        <v>75</v>
      </c>
      <c r="B12" s="3"/>
      <c r="C12" s="3"/>
      <c r="D12" s="3"/>
      <c r="E12" s="3"/>
      <c r="F12" s="3"/>
      <c r="G12" s="3"/>
      <c r="H12" s="3"/>
      <c r="I12" s="3"/>
      <c r="J12" s="3"/>
      <c r="K12" s="3"/>
      <c r="L12" s="3"/>
      <c r="M12" s="3"/>
      <c r="N12" s="3"/>
      <c r="O12" s="3"/>
      <c r="P12" s="3"/>
      <c r="Q12" s="3"/>
      <c r="R12" s="3"/>
      <c r="S12" s="3" t="s">
        <v>49</v>
      </c>
      <c r="T12" s="3"/>
      <c r="U12" s="3"/>
      <c r="V12" s="6">
        <f t="shared" si="0"/>
        <v>1</v>
      </c>
    </row>
    <row r="13" spans="1:22" x14ac:dyDescent="0.25">
      <c r="A13" s="2" t="s">
        <v>78</v>
      </c>
      <c r="B13" s="3"/>
      <c r="C13" s="3"/>
      <c r="D13" s="3"/>
      <c r="E13" s="3"/>
      <c r="F13" s="3"/>
      <c r="G13" s="3"/>
      <c r="H13" s="3"/>
      <c r="I13" s="3"/>
      <c r="J13" s="3"/>
      <c r="K13" s="3"/>
      <c r="L13" s="3"/>
      <c r="M13" s="3"/>
      <c r="N13" s="3"/>
      <c r="O13" s="3"/>
      <c r="P13" s="3"/>
      <c r="Q13" s="3"/>
      <c r="R13" s="3"/>
      <c r="S13" s="3"/>
      <c r="T13" s="3" t="s">
        <v>49</v>
      </c>
      <c r="U13" s="3"/>
      <c r="V13" s="6">
        <f t="shared" si="0"/>
        <v>1</v>
      </c>
    </row>
    <row r="14" spans="1:22" x14ac:dyDescent="0.25">
      <c r="A14" s="2" t="s">
        <v>24</v>
      </c>
      <c r="B14" s="3"/>
      <c r="C14" s="3"/>
      <c r="D14" s="3"/>
      <c r="E14" s="3"/>
      <c r="F14" s="3"/>
      <c r="G14" s="3"/>
      <c r="H14" s="3" t="s">
        <v>49</v>
      </c>
      <c r="I14" s="3"/>
      <c r="J14" s="3"/>
      <c r="K14" s="3"/>
      <c r="L14" s="3"/>
      <c r="M14" s="3"/>
      <c r="N14" s="3"/>
      <c r="O14" s="3"/>
      <c r="P14" s="3"/>
      <c r="Q14" s="3"/>
      <c r="R14" s="3"/>
      <c r="S14" s="3"/>
      <c r="T14" s="3"/>
      <c r="U14" s="3"/>
      <c r="V14" s="6">
        <f t="shared" si="0"/>
        <v>1</v>
      </c>
    </row>
    <row r="15" spans="1:22" x14ac:dyDescent="0.25">
      <c r="A15" s="2" t="s">
        <v>8</v>
      </c>
      <c r="B15" s="3"/>
      <c r="C15" s="3" t="s">
        <v>49</v>
      </c>
      <c r="D15" s="3"/>
      <c r="E15" s="3"/>
      <c r="F15" s="3"/>
      <c r="G15" s="3"/>
      <c r="H15" s="3"/>
      <c r="I15" s="3"/>
      <c r="J15" s="3"/>
      <c r="K15" s="3"/>
      <c r="L15" s="3"/>
      <c r="M15" s="3"/>
      <c r="N15" s="3"/>
      <c r="O15" s="3"/>
      <c r="P15" s="3"/>
      <c r="Q15" s="3"/>
      <c r="R15" s="3"/>
      <c r="S15" s="3"/>
      <c r="T15" s="3"/>
      <c r="U15" s="3"/>
      <c r="V15" s="6">
        <f t="shared" si="0"/>
        <v>1</v>
      </c>
    </row>
    <row r="16" spans="1:22" x14ac:dyDescent="0.25">
      <c r="A16" s="2" t="s">
        <v>14</v>
      </c>
      <c r="B16" s="3"/>
      <c r="C16" s="3"/>
      <c r="D16" s="3"/>
      <c r="E16" s="3" t="s">
        <v>49</v>
      </c>
      <c r="F16" s="3"/>
      <c r="G16" s="3"/>
      <c r="H16" s="3"/>
      <c r="I16" s="3"/>
      <c r="J16" s="3"/>
      <c r="K16" s="3"/>
      <c r="L16" s="3"/>
      <c r="M16" s="3"/>
      <c r="N16" s="3"/>
      <c r="O16" s="3"/>
      <c r="P16" s="3"/>
      <c r="Q16" s="3"/>
      <c r="R16" s="3"/>
      <c r="S16" s="3"/>
      <c r="T16" s="3"/>
      <c r="U16" s="3"/>
      <c r="V16" s="6">
        <f t="shared" si="0"/>
        <v>1</v>
      </c>
    </row>
    <row r="17" spans="1:22" x14ac:dyDescent="0.25">
      <c r="A17" s="2" t="s">
        <v>20</v>
      </c>
      <c r="B17" s="3"/>
      <c r="C17" s="3"/>
      <c r="D17" s="3"/>
      <c r="E17" s="3"/>
      <c r="F17" s="3"/>
      <c r="G17" s="3" t="s">
        <v>49</v>
      </c>
      <c r="H17" s="3"/>
      <c r="I17" s="3" t="s">
        <v>49</v>
      </c>
      <c r="J17" s="3"/>
      <c r="K17" s="3"/>
      <c r="L17" s="3"/>
      <c r="M17" s="3"/>
      <c r="N17" s="3"/>
      <c r="O17" s="3"/>
      <c r="P17" s="3"/>
      <c r="Q17" s="3"/>
      <c r="R17" s="3"/>
      <c r="S17" s="3"/>
      <c r="T17" s="3"/>
      <c r="U17" s="3"/>
      <c r="V17" s="6">
        <f t="shared" si="0"/>
        <v>2</v>
      </c>
    </row>
    <row r="18" spans="1:22" x14ac:dyDescent="0.25">
      <c r="A18" s="2" t="s">
        <v>65</v>
      </c>
      <c r="B18" s="3"/>
      <c r="C18" s="3"/>
      <c r="D18" s="3"/>
      <c r="E18" s="3"/>
      <c r="F18" s="3"/>
      <c r="G18" s="3"/>
      <c r="H18" s="3"/>
      <c r="I18" s="3"/>
      <c r="J18" s="3"/>
      <c r="K18" s="3"/>
      <c r="L18" s="3"/>
      <c r="M18" s="3"/>
      <c r="N18" s="3" t="s">
        <v>49</v>
      </c>
      <c r="O18" s="3" t="s">
        <v>49</v>
      </c>
      <c r="P18" s="3"/>
      <c r="Q18" s="3"/>
      <c r="R18" s="3"/>
      <c r="S18" s="3"/>
      <c r="T18" s="3"/>
      <c r="U18" s="3"/>
      <c r="V18" s="6">
        <f t="shared" si="0"/>
        <v>2</v>
      </c>
    </row>
    <row r="19" spans="1:22" x14ac:dyDescent="0.25">
      <c r="A19" s="2" t="s">
        <v>76</v>
      </c>
      <c r="B19" s="3"/>
      <c r="C19" s="3"/>
      <c r="D19" s="3"/>
      <c r="E19" s="3"/>
      <c r="F19" s="3"/>
      <c r="G19" s="3"/>
      <c r="H19" s="3"/>
      <c r="I19" s="3"/>
      <c r="J19" s="3"/>
      <c r="K19" s="3"/>
      <c r="L19" s="3"/>
      <c r="M19" s="3"/>
      <c r="N19" s="3"/>
      <c r="O19" s="3"/>
      <c r="P19" s="3"/>
      <c r="Q19" s="3"/>
      <c r="R19" s="3"/>
      <c r="S19" s="3" t="s">
        <v>49</v>
      </c>
      <c r="T19" s="3"/>
      <c r="U19" s="3"/>
      <c r="V19" s="6">
        <f t="shared" si="0"/>
        <v>1</v>
      </c>
    </row>
    <row r="20" spans="1:22" x14ac:dyDescent="0.25">
      <c r="A20" s="2" t="s">
        <v>51</v>
      </c>
      <c r="B20" s="3"/>
      <c r="C20" s="3" t="s">
        <v>49</v>
      </c>
      <c r="D20" s="3"/>
      <c r="E20" s="3"/>
      <c r="F20" s="3"/>
      <c r="G20" s="3"/>
      <c r="H20" s="3"/>
      <c r="I20" s="3"/>
      <c r="J20" s="3"/>
      <c r="K20" s="3"/>
      <c r="L20" s="3"/>
      <c r="M20" s="3"/>
      <c r="N20" s="3"/>
      <c r="O20" s="3"/>
      <c r="P20" s="3"/>
      <c r="Q20" s="3"/>
      <c r="R20" s="3"/>
      <c r="S20" s="3"/>
      <c r="T20" s="3"/>
      <c r="U20" s="3"/>
      <c r="V20" s="6">
        <f t="shared" si="0"/>
        <v>1</v>
      </c>
    </row>
    <row r="21" spans="1:22" x14ac:dyDescent="0.25">
      <c r="A21" s="2" t="s">
        <v>31</v>
      </c>
      <c r="B21" s="3"/>
      <c r="C21" s="3"/>
      <c r="D21" s="3"/>
      <c r="E21" s="3"/>
      <c r="F21" s="3"/>
      <c r="G21" s="3"/>
      <c r="H21" s="3"/>
      <c r="I21" s="3"/>
      <c r="J21" s="3" t="s">
        <v>49</v>
      </c>
      <c r="K21" s="3"/>
      <c r="L21" s="3"/>
      <c r="M21" s="3"/>
      <c r="N21" s="3"/>
      <c r="O21" s="3"/>
      <c r="P21" s="3"/>
      <c r="Q21" s="3"/>
      <c r="R21" s="3"/>
      <c r="S21" s="3"/>
      <c r="T21" s="3"/>
      <c r="U21" s="3"/>
      <c r="V21" s="6">
        <f t="shared" si="0"/>
        <v>1</v>
      </c>
    </row>
    <row r="22" spans="1:22" x14ac:dyDescent="0.25">
      <c r="A22" s="2" t="s">
        <v>74</v>
      </c>
      <c r="B22" s="3"/>
      <c r="C22" s="3"/>
      <c r="D22" s="3"/>
      <c r="E22" s="3"/>
      <c r="F22" s="3"/>
      <c r="G22" s="3"/>
      <c r="H22" s="3"/>
      <c r="I22" s="3"/>
      <c r="J22" s="3"/>
      <c r="K22" s="3"/>
      <c r="L22" s="3"/>
      <c r="M22" s="3"/>
      <c r="N22" s="3"/>
      <c r="O22" s="3"/>
      <c r="P22" s="3"/>
      <c r="Q22" s="3"/>
      <c r="R22" s="3"/>
      <c r="S22" s="3" t="s">
        <v>49</v>
      </c>
      <c r="T22" s="3"/>
      <c r="U22" s="3"/>
      <c r="V22" s="6">
        <f t="shared" si="0"/>
        <v>1</v>
      </c>
    </row>
    <row r="23" spans="1:22" x14ac:dyDescent="0.25">
      <c r="A23" s="2" t="s">
        <v>58</v>
      </c>
      <c r="B23" s="3"/>
      <c r="C23" s="3"/>
      <c r="D23" s="3"/>
      <c r="E23" s="3"/>
      <c r="F23" s="3"/>
      <c r="G23" s="3"/>
      <c r="H23" s="3"/>
      <c r="I23" s="3"/>
      <c r="J23" s="3"/>
      <c r="K23" s="3" t="s">
        <v>49</v>
      </c>
      <c r="L23" s="3"/>
      <c r="M23" s="3"/>
      <c r="N23" s="3"/>
      <c r="O23" s="3"/>
      <c r="P23" s="3"/>
      <c r="Q23" s="3"/>
      <c r="R23" s="3"/>
      <c r="S23" s="3"/>
      <c r="T23" s="3"/>
      <c r="U23" s="3" t="s">
        <v>49</v>
      </c>
      <c r="V23" s="6">
        <f t="shared" si="0"/>
        <v>1</v>
      </c>
    </row>
    <row r="24" spans="1:22" x14ac:dyDescent="0.25">
      <c r="A24" s="2" t="s">
        <v>11</v>
      </c>
      <c r="B24" s="3"/>
      <c r="C24" s="3"/>
      <c r="D24" s="3" t="s">
        <v>49</v>
      </c>
      <c r="E24" s="3"/>
      <c r="F24" s="3"/>
      <c r="G24" s="3"/>
      <c r="H24" s="3"/>
      <c r="I24" s="3"/>
      <c r="J24" s="3"/>
      <c r="K24" s="3"/>
      <c r="L24" s="3"/>
      <c r="M24" s="3"/>
      <c r="N24" s="3"/>
      <c r="O24" s="3"/>
      <c r="P24" s="3"/>
      <c r="Q24" s="3"/>
      <c r="R24" s="3"/>
      <c r="S24" s="3"/>
      <c r="T24" s="3"/>
      <c r="U24" s="3"/>
      <c r="V24" s="6">
        <f t="shared" si="0"/>
        <v>1</v>
      </c>
    </row>
    <row r="25" spans="1:22" x14ac:dyDescent="0.25">
      <c r="A25" s="2" t="s">
        <v>53</v>
      </c>
      <c r="B25" s="3"/>
      <c r="C25" s="3"/>
      <c r="D25" s="3"/>
      <c r="E25" s="3"/>
      <c r="F25" s="3"/>
      <c r="G25" s="3"/>
      <c r="H25" s="3"/>
      <c r="I25" s="3" t="s">
        <v>49</v>
      </c>
      <c r="J25" s="3"/>
      <c r="K25" s="3"/>
      <c r="L25" s="3"/>
      <c r="M25" s="3"/>
      <c r="N25" s="3"/>
      <c r="O25" s="3"/>
      <c r="P25" s="3"/>
      <c r="Q25" s="3"/>
      <c r="R25" s="3"/>
      <c r="S25" s="3"/>
      <c r="T25" s="3"/>
      <c r="U25" s="3"/>
      <c r="V25" s="6">
        <f t="shared" si="0"/>
        <v>1</v>
      </c>
    </row>
    <row r="26" spans="1:22" x14ac:dyDescent="0.25">
      <c r="A26" s="2" t="s">
        <v>18</v>
      </c>
      <c r="B26" s="3"/>
      <c r="C26" s="3"/>
      <c r="D26" s="3"/>
      <c r="E26" s="3"/>
      <c r="F26" s="3"/>
      <c r="G26" s="3" t="s">
        <v>49</v>
      </c>
      <c r="H26" s="3"/>
      <c r="I26" s="3"/>
      <c r="J26" s="3"/>
      <c r="K26" s="3"/>
      <c r="L26" s="3"/>
      <c r="M26" s="3"/>
      <c r="N26" s="3"/>
      <c r="O26" s="3"/>
      <c r="P26" s="3"/>
      <c r="Q26" s="3"/>
      <c r="R26" s="3"/>
      <c r="S26" s="3"/>
      <c r="T26" s="3"/>
      <c r="U26" s="3"/>
      <c r="V26" s="6">
        <f t="shared" si="0"/>
        <v>1</v>
      </c>
    </row>
    <row r="27" spans="1:22" x14ac:dyDescent="0.25">
      <c r="A27" s="2" t="s">
        <v>3</v>
      </c>
      <c r="B27" s="3" t="s">
        <v>49</v>
      </c>
      <c r="C27" s="3"/>
      <c r="D27" s="3"/>
      <c r="E27" s="3"/>
      <c r="F27" s="3" t="s">
        <v>49</v>
      </c>
      <c r="G27" s="3"/>
      <c r="H27" s="3"/>
      <c r="I27" s="3"/>
      <c r="J27" s="3"/>
      <c r="K27" s="3"/>
      <c r="L27" s="3"/>
      <c r="M27" s="3"/>
      <c r="N27" s="3"/>
      <c r="O27" s="3"/>
      <c r="P27" s="3"/>
      <c r="Q27" s="3"/>
      <c r="R27" s="3"/>
      <c r="S27" s="3"/>
      <c r="T27" s="3"/>
      <c r="U27" s="3"/>
      <c r="V27" s="6">
        <f t="shared" si="0"/>
        <v>2</v>
      </c>
    </row>
    <row r="28" spans="1:22" x14ac:dyDescent="0.25">
      <c r="A28" s="2" t="s">
        <v>26</v>
      </c>
      <c r="B28" s="3"/>
      <c r="C28" s="3"/>
      <c r="D28" s="3"/>
      <c r="E28" s="3"/>
      <c r="F28" s="3"/>
      <c r="G28" s="3"/>
      <c r="H28" s="3"/>
      <c r="I28" s="3"/>
      <c r="J28" s="3" t="s">
        <v>49</v>
      </c>
      <c r="K28" s="3"/>
      <c r="L28" s="3"/>
      <c r="M28" s="3"/>
      <c r="N28" s="3"/>
      <c r="O28" s="3"/>
      <c r="P28" s="3"/>
      <c r="Q28" s="3"/>
      <c r="R28" s="3"/>
      <c r="S28" s="3"/>
      <c r="T28" s="3"/>
      <c r="U28" s="3"/>
      <c r="V28" s="6">
        <f t="shared" si="0"/>
        <v>1</v>
      </c>
    </row>
    <row r="29" spans="1:22" x14ac:dyDescent="0.25">
      <c r="A29" s="2" t="s">
        <v>9</v>
      </c>
      <c r="B29" s="3"/>
      <c r="C29" s="3"/>
      <c r="D29" s="3" t="s">
        <v>49</v>
      </c>
      <c r="E29" s="3"/>
      <c r="F29" s="3"/>
      <c r="G29" s="3" t="s">
        <v>49</v>
      </c>
      <c r="H29" s="3"/>
      <c r="I29" s="3"/>
      <c r="J29" s="3"/>
      <c r="K29" s="3"/>
      <c r="L29" s="3"/>
      <c r="M29" s="3"/>
      <c r="N29" s="3"/>
      <c r="O29" s="3"/>
      <c r="P29" s="3"/>
      <c r="Q29" s="3"/>
      <c r="R29" s="3"/>
      <c r="S29" s="3"/>
      <c r="T29" s="3"/>
      <c r="U29" s="3"/>
      <c r="V29" s="6">
        <f t="shared" si="0"/>
        <v>2</v>
      </c>
    </row>
    <row r="30" spans="1:22" x14ac:dyDescent="0.25">
      <c r="A30" s="2" t="s">
        <v>56</v>
      </c>
      <c r="B30" s="3"/>
      <c r="C30" s="3"/>
      <c r="D30" s="3"/>
      <c r="E30" s="3"/>
      <c r="F30" s="3"/>
      <c r="G30" s="3"/>
      <c r="H30" s="3"/>
      <c r="I30" s="3"/>
      <c r="J30" s="3"/>
      <c r="K30" s="3" t="s">
        <v>49</v>
      </c>
      <c r="L30" s="3"/>
      <c r="M30" s="3"/>
      <c r="N30" s="3"/>
      <c r="O30" s="3"/>
      <c r="P30" s="3"/>
      <c r="Q30" s="3"/>
      <c r="R30" s="3"/>
      <c r="S30" s="3"/>
      <c r="T30" s="3" t="s">
        <v>49</v>
      </c>
      <c r="U30" s="3" t="s">
        <v>49</v>
      </c>
      <c r="V30" s="6">
        <f t="shared" si="0"/>
        <v>2</v>
      </c>
    </row>
    <row r="31" spans="1:22" x14ac:dyDescent="0.25">
      <c r="A31" s="2" t="s">
        <v>15</v>
      </c>
      <c r="B31" s="3"/>
      <c r="C31" s="3"/>
      <c r="D31" s="3"/>
      <c r="E31" s="3" t="s">
        <v>49</v>
      </c>
      <c r="F31" s="3"/>
      <c r="G31" s="3"/>
      <c r="H31" s="3"/>
      <c r="I31" s="3"/>
      <c r="J31" s="3"/>
      <c r="K31" s="3"/>
      <c r="L31" s="3"/>
      <c r="M31" s="3"/>
      <c r="N31" s="3"/>
      <c r="O31" s="3"/>
      <c r="P31" s="3"/>
      <c r="Q31" s="3"/>
      <c r="R31" s="3"/>
      <c r="S31" s="3"/>
      <c r="T31" s="3"/>
      <c r="U31" s="3"/>
      <c r="V31" s="6">
        <f t="shared" si="0"/>
        <v>1</v>
      </c>
    </row>
    <row r="32" spans="1:22" x14ac:dyDescent="0.25">
      <c r="A32" s="2" t="s">
        <v>67</v>
      </c>
      <c r="B32" s="3"/>
      <c r="C32" s="3"/>
      <c r="D32" s="3"/>
      <c r="E32" s="3" t="s">
        <v>49</v>
      </c>
      <c r="F32" s="3"/>
      <c r="G32" s="3"/>
      <c r="H32" s="3"/>
      <c r="I32" s="3"/>
      <c r="J32" s="3"/>
      <c r="K32" s="3"/>
      <c r="L32" s="3"/>
      <c r="M32" s="3"/>
      <c r="N32" s="3"/>
      <c r="O32" s="3" t="s">
        <v>49</v>
      </c>
      <c r="P32" s="3"/>
      <c r="Q32" s="3"/>
      <c r="R32" s="3"/>
      <c r="S32" s="3"/>
      <c r="T32" s="3"/>
      <c r="U32" s="3"/>
      <c r="V32" s="6">
        <f t="shared" si="0"/>
        <v>2</v>
      </c>
    </row>
    <row r="33" spans="1:22" x14ac:dyDescent="0.25">
      <c r="A33" s="2" t="s">
        <v>70</v>
      </c>
      <c r="B33" s="3"/>
      <c r="C33" s="3"/>
      <c r="D33" s="3"/>
      <c r="E33" s="3"/>
      <c r="F33" s="3"/>
      <c r="G33" s="3"/>
      <c r="H33" s="3"/>
      <c r="I33" s="3"/>
      <c r="J33" s="3"/>
      <c r="K33" s="3"/>
      <c r="L33" s="3"/>
      <c r="M33" s="3"/>
      <c r="N33" s="3"/>
      <c r="O33" s="3"/>
      <c r="P33" s="3"/>
      <c r="Q33" s="3"/>
      <c r="R33" s="3" t="s">
        <v>49</v>
      </c>
      <c r="S33" s="3"/>
      <c r="T33" s="3"/>
      <c r="U33" s="3"/>
      <c r="V33" s="6">
        <f t="shared" si="0"/>
        <v>1</v>
      </c>
    </row>
    <row r="34" spans="1:22" x14ac:dyDescent="0.25">
      <c r="A34" s="2" t="s">
        <v>4</v>
      </c>
      <c r="B34" s="3"/>
      <c r="C34" s="3" t="s">
        <v>49</v>
      </c>
      <c r="D34" s="3"/>
      <c r="E34" s="3"/>
      <c r="F34" s="3"/>
      <c r="G34" s="3"/>
      <c r="H34" s="3"/>
      <c r="I34" s="3"/>
      <c r="J34" s="3"/>
      <c r="K34" s="3"/>
      <c r="L34" s="3"/>
      <c r="M34" s="3"/>
      <c r="N34" s="3"/>
      <c r="O34" s="3"/>
      <c r="P34" s="3"/>
      <c r="Q34" s="3"/>
      <c r="R34" s="3"/>
      <c r="S34" s="3"/>
      <c r="T34" s="3"/>
      <c r="U34" s="3"/>
      <c r="V34" s="6">
        <f t="shared" si="0"/>
        <v>1</v>
      </c>
    </row>
    <row r="35" spans="1:22" x14ac:dyDescent="0.25">
      <c r="A35" s="2" t="s">
        <v>7</v>
      </c>
      <c r="B35" s="3"/>
      <c r="C35" s="3" t="s">
        <v>49</v>
      </c>
      <c r="D35" s="3"/>
      <c r="E35" s="3"/>
      <c r="F35" s="3"/>
      <c r="G35" s="3"/>
      <c r="H35" s="3"/>
      <c r="I35" s="3"/>
      <c r="J35" s="3"/>
      <c r="K35" s="3"/>
      <c r="L35" s="3"/>
      <c r="M35" s="3"/>
      <c r="N35" s="3"/>
      <c r="O35" s="3"/>
      <c r="P35" s="3"/>
      <c r="Q35" s="3"/>
      <c r="R35" s="3"/>
      <c r="S35" s="3"/>
      <c r="T35" s="3"/>
      <c r="U35" s="3"/>
      <c r="V35" s="6">
        <f t="shared" si="0"/>
        <v>1</v>
      </c>
    </row>
    <row r="36" spans="1:22" x14ac:dyDescent="0.25">
      <c r="A36" s="2" t="s">
        <v>17</v>
      </c>
      <c r="B36" s="3"/>
      <c r="C36" s="3"/>
      <c r="D36" s="3"/>
      <c r="E36" s="3" t="s">
        <v>49</v>
      </c>
      <c r="F36" s="3"/>
      <c r="G36" s="3"/>
      <c r="H36" s="3"/>
      <c r="I36" s="3"/>
      <c r="J36" s="3"/>
      <c r="K36" s="3"/>
      <c r="L36" s="3"/>
      <c r="M36" s="3"/>
      <c r="N36" s="3"/>
      <c r="O36" s="3"/>
      <c r="P36" s="3"/>
      <c r="Q36" s="3"/>
      <c r="R36" s="3"/>
      <c r="S36" s="3"/>
      <c r="T36" s="3"/>
      <c r="U36" s="3"/>
      <c r="V36" s="6">
        <f t="shared" si="0"/>
        <v>1</v>
      </c>
    </row>
    <row r="37" spans="1:22" x14ac:dyDescent="0.25">
      <c r="A37" s="2" t="s">
        <v>77</v>
      </c>
      <c r="B37" s="3"/>
      <c r="C37" s="3"/>
      <c r="D37" s="3"/>
      <c r="E37" s="3"/>
      <c r="F37" s="3"/>
      <c r="G37" s="3"/>
      <c r="H37" s="3"/>
      <c r="I37" s="3"/>
      <c r="J37" s="3"/>
      <c r="K37" s="3"/>
      <c r="L37" s="3"/>
      <c r="M37" s="3"/>
      <c r="N37" s="3"/>
      <c r="O37" s="3"/>
      <c r="P37" s="3"/>
      <c r="Q37" s="3"/>
      <c r="R37" s="3"/>
      <c r="S37" s="3"/>
      <c r="T37" s="3" t="s">
        <v>49</v>
      </c>
      <c r="U37" s="3"/>
      <c r="V37" s="6">
        <f t="shared" si="0"/>
        <v>1</v>
      </c>
    </row>
    <row r="38" spans="1:22" x14ac:dyDescent="0.25">
      <c r="A38" s="2" t="s">
        <v>69</v>
      </c>
      <c r="B38" s="3"/>
      <c r="C38" s="3"/>
      <c r="D38" s="3"/>
      <c r="E38" s="3"/>
      <c r="F38" s="3"/>
      <c r="G38" s="3"/>
      <c r="H38" s="3"/>
      <c r="I38" s="3"/>
      <c r="J38" s="3"/>
      <c r="K38" s="3"/>
      <c r="L38" s="3"/>
      <c r="M38" s="3"/>
      <c r="N38" s="3"/>
      <c r="O38" s="3"/>
      <c r="P38" s="3"/>
      <c r="Q38" s="3"/>
      <c r="R38" s="3" t="s">
        <v>49</v>
      </c>
      <c r="S38" s="3"/>
      <c r="T38" s="3"/>
      <c r="U38" s="3"/>
      <c r="V38" s="6">
        <f t="shared" si="0"/>
        <v>1</v>
      </c>
    </row>
    <row r="39" spans="1:22" x14ac:dyDescent="0.25">
      <c r="A39" s="2" t="s">
        <v>68</v>
      </c>
      <c r="B39" s="3"/>
      <c r="C39" s="3"/>
      <c r="D39" s="3"/>
      <c r="E39" s="3"/>
      <c r="F39" s="3"/>
      <c r="G39" s="3"/>
      <c r="H39" s="3"/>
      <c r="I39" s="3"/>
      <c r="J39" s="3"/>
      <c r="K39" s="3"/>
      <c r="L39" s="3"/>
      <c r="M39" s="3"/>
      <c r="N39" s="3"/>
      <c r="O39" s="3"/>
      <c r="P39" s="3"/>
      <c r="Q39" s="3"/>
      <c r="R39" s="3" t="s">
        <v>49</v>
      </c>
      <c r="S39" s="3"/>
      <c r="T39" s="3"/>
      <c r="U39" s="3"/>
      <c r="V39" s="6">
        <f t="shared" si="0"/>
        <v>1</v>
      </c>
    </row>
    <row r="40" spans="1:22" x14ac:dyDescent="0.25">
      <c r="A40" s="2" t="s">
        <v>2</v>
      </c>
      <c r="B40" s="3" t="s">
        <v>49</v>
      </c>
      <c r="C40" s="3"/>
      <c r="D40" s="3" t="s">
        <v>49</v>
      </c>
      <c r="E40" s="3"/>
      <c r="F40" s="3" t="s">
        <v>49</v>
      </c>
      <c r="G40" s="3" t="s">
        <v>49</v>
      </c>
      <c r="H40" s="3"/>
      <c r="I40" s="3" t="s">
        <v>49</v>
      </c>
      <c r="J40" s="3"/>
      <c r="K40" s="3"/>
      <c r="L40" s="3"/>
      <c r="M40" s="3"/>
      <c r="N40" s="3" t="s">
        <v>49</v>
      </c>
      <c r="O40" s="3" t="s">
        <v>49</v>
      </c>
      <c r="P40" s="3" t="s">
        <v>49</v>
      </c>
      <c r="Q40" s="3" t="s">
        <v>49</v>
      </c>
      <c r="R40" s="3"/>
      <c r="S40" s="3" t="s">
        <v>49</v>
      </c>
      <c r="T40" s="3" t="s">
        <v>49</v>
      </c>
      <c r="U40" s="3"/>
      <c r="V40" s="6">
        <f t="shared" si="0"/>
        <v>11</v>
      </c>
    </row>
    <row r="41" spans="1:22" x14ac:dyDescent="0.25">
      <c r="A41" s="2" t="s">
        <v>22</v>
      </c>
      <c r="B41" s="3"/>
      <c r="C41" s="3"/>
      <c r="D41" s="3"/>
      <c r="E41" s="3"/>
      <c r="F41" s="3"/>
      <c r="G41" s="3"/>
      <c r="H41" s="3" t="s">
        <v>49</v>
      </c>
      <c r="I41" s="3"/>
      <c r="J41" s="3"/>
      <c r="K41" s="3"/>
      <c r="L41" s="3"/>
      <c r="M41" s="3"/>
      <c r="N41" s="3"/>
      <c r="O41" s="3"/>
      <c r="P41" s="3"/>
      <c r="Q41" s="3"/>
      <c r="R41" s="3"/>
      <c r="S41" s="3"/>
      <c r="T41" s="3"/>
      <c r="U41" s="3"/>
      <c r="V41" s="6">
        <f t="shared" si="0"/>
        <v>1</v>
      </c>
    </row>
    <row r="42" spans="1:22" x14ac:dyDescent="0.25">
      <c r="A42" s="2" t="s">
        <v>62</v>
      </c>
      <c r="B42" s="3"/>
      <c r="C42" s="3"/>
      <c r="D42" s="3"/>
      <c r="E42" s="3"/>
      <c r="F42" s="3"/>
      <c r="G42" s="3"/>
      <c r="H42" s="3"/>
      <c r="I42" s="3"/>
      <c r="J42" s="3"/>
      <c r="K42" s="3"/>
      <c r="L42" s="3"/>
      <c r="M42" s="3" t="s">
        <v>49</v>
      </c>
      <c r="N42" s="3"/>
      <c r="O42" s="3"/>
      <c r="P42" s="3"/>
      <c r="Q42" s="3"/>
      <c r="R42" s="3"/>
      <c r="S42" s="3"/>
      <c r="T42" s="3"/>
      <c r="U42" s="3"/>
      <c r="V42" s="6">
        <f t="shared" si="0"/>
        <v>1</v>
      </c>
    </row>
    <row r="43" spans="1:22" x14ac:dyDescent="0.25">
      <c r="A43" s="2" t="s">
        <v>13</v>
      </c>
      <c r="B43" s="3"/>
      <c r="C43" s="3"/>
      <c r="D43" s="3"/>
      <c r="E43" s="3" t="s">
        <v>49</v>
      </c>
      <c r="F43" s="3"/>
      <c r="G43" s="3"/>
      <c r="H43" s="3"/>
      <c r="I43" s="3"/>
      <c r="J43" s="3"/>
      <c r="K43" s="3"/>
      <c r="L43" s="3"/>
      <c r="M43" s="3"/>
      <c r="N43" s="3"/>
      <c r="O43" s="3"/>
      <c r="P43" s="3"/>
      <c r="Q43" s="3"/>
      <c r="R43" s="3"/>
      <c r="S43" s="3"/>
      <c r="T43" s="3"/>
      <c r="U43" s="3"/>
      <c r="V43" s="6">
        <f t="shared" si="0"/>
        <v>1</v>
      </c>
    </row>
    <row r="44" spans="1:22" x14ac:dyDescent="0.25">
      <c r="A44" s="2" t="s">
        <v>72</v>
      </c>
      <c r="B44" s="3"/>
      <c r="C44" s="3"/>
      <c r="D44" s="3"/>
      <c r="E44" s="3"/>
      <c r="F44" s="3"/>
      <c r="G44" s="3"/>
      <c r="H44" s="3"/>
      <c r="I44" s="3"/>
      <c r="J44" s="3"/>
      <c r="K44" s="3"/>
      <c r="L44" s="3"/>
      <c r="M44" s="3"/>
      <c r="N44" s="3"/>
      <c r="O44" s="3"/>
      <c r="P44" s="3"/>
      <c r="Q44" s="3"/>
      <c r="R44" s="3" t="s">
        <v>49</v>
      </c>
      <c r="S44" s="3"/>
      <c r="T44" s="3"/>
      <c r="U44" s="3"/>
      <c r="V44" s="6">
        <f t="shared" si="0"/>
        <v>1</v>
      </c>
    </row>
    <row r="45" spans="1:22" x14ac:dyDescent="0.25">
      <c r="A45" s="2" t="s">
        <v>27</v>
      </c>
      <c r="B45" s="3"/>
      <c r="C45" s="3"/>
      <c r="D45" s="3"/>
      <c r="E45" s="3"/>
      <c r="F45" s="3"/>
      <c r="G45" s="3"/>
      <c r="H45" s="3"/>
      <c r="I45" s="3"/>
      <c r="J45" s="3" t="s">
        <v>49</v>
      </c>
      <c r="K45" s="3"/>
      <c r="L45" s="3"/>
      <c r="M45" s="3"/>
      <c r="N45" s="3"/>
      <c r="O45" s="3"/>
      <c r="P45" s="3"/>
      <c r="Q45" s="3"/>
      <c r="R45" s="3"/>
      <c r="S45" s="3"/>
      <c r="T45" s="3"/>
      <c r="U45" s="3"/>
      <c r="V45" s="6">
        <f t="shared" si="0"/>
        <v>1</v>
      </c>
    </row>
    <row r="46" spans="1:22" x14ac:dyDescent="0.25">
      <c r="A46" s="2" t="s">
        <v>73</v>
      </c>
      <c r="B46" s="3"/>
      <c r="C46" s="3"/>
      <c r="D46" s="3"/>
      <c r="E46" s="3"/>
      <c r="F46" s="3"/>
      <c r="G46" s="3"/>
      <c r="H46" s="3"/>
      <c r="I46" s="3"/>
      <c r="J46" s="3"/>
      <c r="K46" s="3"/>
      <c r="L46" s="3"/>
      <c r="M46" s="3"/>
      <c r="N46" s="3"/>
      <c r="O46" s="3"/>
      <c r="P46" s="3"/>
      <c r="Q46" s="3"/>
      <c r="R46" s="3"/>
      <c r="S46" s="3" t="s">
        <v>49</v>
      </c>
      <c r="T46" s="3"/>
      <c r="U46" s="3"/>
      <c r="V46" s="6">
        <f t="shared" si="0"/>
        <v>1</v>
      </c>
    </row>
    <row r="47" spans="1:22" x14ac:dyDescent="0.25">
      <c r="A47" s="2" t="s">
        <v>57</v>
      </c>
      <c r="B47" s="3"/>
      <c r="C47" s="3"/>
      <c r="D47" s="3"/>
      <c r="E47" s="3"/>
      <c r="F47" s="3"/>
      <c r="G47" s="3"/>
      <c r="H47" s="3"/>
      <c r="I47" s="3"/>
      <c r="J47" s="3"/>
      <c r="K47" s="3" t="s">
        <v>49</v>
      </c>
      <c r="L47" s="3" t="s">
        <v>49</v>
      </c>
      <c r="M47" s="3" t="s">
        <v>49</v>
      </c>
      <c r="N47" s="3" t="s">
        <v>49</v>
      </c>
      <c r="O47" s="3" t="s">
        <v>49</v>
      </c>
      <c r="P47" s="3"/>
      <c r="Q47" s="3" t="s">
        <v>49</v>
      </c>
      <c r="R47" s="3"/>
      <c r="S47" s="3" t="s">
        <v>49</v>
      </c>
      <c r="T47" s="3" t="s">
        <v>49</v>
      </c>
      <c r="U47" s="3" t="s">
        <v>49</v>
      </c>
      <c r="V47" s="6">
        <f t="shared" si="0"/>
        <v>8</v>
      </c>
    </row>
    <row r="48" spans="1:22" x14ac:dyDescent="0.25">
      <c r="A48" s="2" t="s">
        <v>25</v>
      </c>
      <c r="B48" s="3"/>
      <c r="C48" s="3"/>
      <c r="D48" s="3"/>
      <c r="E48" s="3"/>
      <c r="F48" s="3"/>
      <c r="G48" s="3"/>
      <c r="H48" s="3"/>
      <c r="I48" s="3" t="s">
        <v>49</v>
      </c>
      <c r="J48" s="3"/>
      <c r="K48" s="3"/>
      <c r="L48" s="3"/>
      <c r="M48" s="3"/>
      <c r="N48" s="3"/>
      <c r="O48" s="3"/>
      <c r="P48" s="3"/>
      <c r="Q48" s="3"/>
      <c r="R48" s="3"/>
      <c r="S48" s="3"/>
      <c r="T48" s="3"/>
      <c r="U48" s="3"/>
      <c r="V48" s="6">
        <f t="shared" si="0"/>
        <v>1</v>
      </c>
    </row>
    <row r="49" spans="1:22" x14ac:dyDescent="0.25">
      <c r="A49" s="2" t="s">
        <v>12</v>
      </c>
      <c r="B49" s="3"/>
      <c r="C49" s="3"/>
      <c r="D49" s="3" t="s">
        <v>49</v>
      </c>
      <c r="E49" s="3"/>
      <c r="F49" s="3"/>
      <c r="G49" s="3"/>
      <c r="H49" s="3"/>
      <c r="I49" s="3"/>
      <c r="J49" s="3"/>
      <c r="K49" s="3"/>
      <c r="L49" s="3"/>
      <c r="M49" s="3"/>
      <c r="N49" s="3"/>
      <c r="O49" s="3"/>
      <c r="P49" s="3"/>
      <c r="Q49" s="3"/>
      <c r="R49" s="3"/>
      <c r="S49" s="3"/>
      <c r="T49" s="3"/>
      <c r="U49" s="3"/>
      <c r="V49" s="6">
        <f t="shared" si="0"/>
        <v>1</v>
      </c>
    </row>
    <row r="50" spans="1:22" x14ac:dyDescent="0.25">
      <c r="A50" s="2" t="s">
        <v>61</v>
      </c>
      <c r="B50" s="3"/>
      <c r="C50" s="3"/>
      <c r="D50" s="3"/>
      <c r="E50" s="3"/>
      <c r="F50" s="3"/>
      <c r="G50" s="3"/>
      <c r="H50" s="3"/>
      <c r="I50" s="3"/>
      <c r="J50" s="3"/>
      <c r="K50" s="3"/>
      <c r="L50" s="3" t="s">
        <v>49</v>
      </c>
      <c r="M50" s="3"/>
      <c r="N50" s="3"/>
      <c r="O50" s="3"/>
      <c r="P50" s="3"/>
      <c r="Q50" s="3"/>
      <c r="R50" s="3"/>
      <c r="S50" s="3"/>
      <c r="T50" s="3"/>
      <c r="U50" s="3"/>
      <c r="V50" s="6">
        <f t="shared" si="0"/>
        <v>1</v>
      </c>
    </row>
    <row r="51" spans="1:22" x14ac:dyDescent="0.25">
      <c r="A51" s="2" t="s">
        <v>5</v>
      </c>
      <c r="B51" s="3"/>
      <c r="C51" s="3" t="s">
        <v>49</v>
      </c>
      <c r="D51" s="3"/>
      <c r="E51" s="3"/>
      <c r="F51" s="3"/>
      <c r="G51" s="3"/>
      <c r="H51" s="3"/>
      <c r="I51" s="3"/>
      <c r="J51" s="3"/>
      <c r="K51" s="3"/>
      <c r="L51" s="3"/>
      <c r="M51" s="3"/>
      <c r="N51" s="3"/>
      <c r="O51" s="3"/>
      <c r="P51" s="3"/>
      <c r="Q51" s="3"/>
      <c r="R51" s="3"/>
      <c r="S51" s="3"/>
      <c r="T51" s="3"/>
      <c r="U51" s="3"/>
      <c r="V51" s="6">
        <f t="shared" si="0"/>
        <v>1</v>
      </c>
    </row>
    <row r="52" spans="1:22" x14ac:dyDescent="0.25">
      <c r="A52" s="2" t="s">
        <v>54</v>
      </c>
      <c r="B52" s="3" t="s">
        <v>49</v>
      </c>
      <c r="C52" s="3"/>
      <c r="D52" s="3"/>
      <c r="E52" s="3"/>
      <c r="F52" s="3" t="s">
        <v>49</v>
      </c>
      <c r="G52" s="3"/>
      <c r="H52" s="3"/>
      <c r="I52" s="3"/>
      <c r="J52" s="3"/>
      <c r="K52" s="3" t="s">
        <v>49</v>
      </c>
      <c r="L52" s="3"/>
      <c r="M52" s="3"/>
      <c r="N52" s="3"/>
      <c r="O52" s="3"/>
      <c r="P52" s="3"/>
      <c r="Q52" s="3"/>
      <c r="R52" s="3"/>
      <c r="S52" s="3"/>
      <c r="T52" s="3"/>
      <c r="U52" s="3" t="s">
        <v>49</v>
      </c>
      <c r="V52" s="6">
        <f t="shared" si="0"/>
        <v>3</v>
      </c>
    </row>
    <row r="53" spans="1:22" x14ac:dyDescent="0.25">
      <c r="A53" s="2" t="s">
        <v>80</v>
      </c>
      <c r="B53" s="3"/>
      <c r="C53" s="3"/>
      <c r="D53" s="3"/>
      <c r="E53" s="3"/>
      <c r="F53" s="3"/>
      <c r="G53" s="3"/>
      <c r="H53" s="3"/>
      <c r="I53" s="3"/>
      <c r="J53" s="3" t="s">
        <v>49</v>
      </c>
      <c r="K53" s="3"/>
      <c r="L53" s="3"/>
      <c r="M53" s="3"/>
      <c r="N53" s="3"/>
      <c r="O53" s="3"/>
      <c r="P53" s="3"/>
      <c r="Q53" s="3"/>
      <c r="R53" s="3"/>
      <c r="S53" s="3"/>
      <c r="T53" s="3"/>
      <c r="U53" s="3"/>
      <c r="V53" s="6">
        <f t="shared" si="0"/>
        <v>1</v>
      </c>
    </row>
    <row r="54" spans="1:22" x14ac:dyDescent="0.25">
      <c r="A54" s="2" t="s">
        <v>29</v>
      </c>
      <c r="B54" s="3"/>
      <c r="C54" s="3"/>
      <c r="D54" s="3"/>
      <c r="E54" s="3"/>
      <c r="F54" s="3"/>
      <c r="G54" s="3"/>
      <c r="H54" s="3"/>
      <c r="I54" s="3"/>
      <c r="J54" s="3" t="s">
        <v>49</v>
      </c>
      <c r="K54" s="3"/>
      <c r="L54" s="3"/>
      <c r="M54" s="3"/>
      <c r="N54" s="3"/>
      <c r="O54" s="3"/>
      <c r="P54" s="3"/>
      <c r="Q54" s="3"/>
      <c r="R54" s="3"/>
      <c r="S54" s="3"/>
      <c r="T54" s="3"/>
      <c r="U54" s="3"/>
      <c r="V54" s="6">
        <f t="shared" si="0"/>
        <v>1</v>
      </c>
    </row>
    <row r="55" spans="1:22" x14ac:dyDescent="0.25">
      <c r="A55" s="2" t="s">
        <v>23</v>
      </c>
      <c r="B55" s="3"/>
      <c r="C55" s="3"/>
      <c r="D55" s="3"/>
      <c r="E55" s="3"/>
      <c r="F55" s="3"/>
      <c r="G55" s="3"/>
      <c r="H55" s="3" t="s">
        <v>49</v>
      </c>
      <c r="I55" s="3"/>
      <c r="J55" s="3"/>
      <c r="K55" s="3"/>
      <c r="L55" s="3"/>
      <c r="M55" s="3"/>
      <c r="N55" s="3"/>
      <c r="O55" s="3"/>
      <c r="P55" s="3"/>
      <c r="Q55" s="3"/>
      <c r="R55" s="3"/>
      <c r="S55" s="3"/>
      <c r="T55" s="3"/>
      <c r="U55" s="3"/>
      <c r="V55" s="6">
        <f t="shared" si="0"/>
        <v>1</v>
      </c>
    </row>
    <row r="56" spans="1:22" x14ac:dyDescent="0.25">
      <c r="A56" s="2" t="s">
        <v>64</v>
      </c>
      <c r="B56" s="3"/>
      <c r="C56" s="3"/>
      <c r="D56" s="3"/>
      <c r="E56" s="3"/>
      <c r="F56" s="3"/>
      <c r="G56" s="3"/>
      <c r="H56" s="3"/>
      <c r="I56" s="3"/>
      <c r="J56" s="3"/>
      <c r="K56" s="3"/>
      <c r="L56" s="3"/>
      <c r="M56" s="3" t="s">
        <v>49</v>
      </c>
      <c r="N56" s="3"/>
      <c r="O56" s="3"/>
      <c r="P56" s="3"/>
      <c r="Q56" s="3"/>
      <c r="R56" s="3"/>
      <c r="S56" s="3"/>
      <c r="T56" s="3"/>
      <c r="U56" s="3"/>
      <c r="V56" s="6">
        <f t="shared" si="0"/>
        <v>1</v>
      </c>
    </row>
    <row r="57" spans="1:22" x14ac:dyDescent="0.25">
      <c r="A57" s="2" t="s">
        <v>21</v>
      </c>
      <c r="B57" s="3"/>
      <c r="C57" s="3"/>
      <c r="D57" s="3"/>
      <c r="E57" s="3"/>
      <c r="F57" s="3"/>
      <c r="G57" s="3"/>
      <c r="H57" s="3" t="s">
        <v>49</v>
      </c>
      <c r="I57" s="3"/>
      <c r="J57" s="3"/>
      <c r="K57" s="3"/>
      <c r="L57" s="3"/>
      <c r="M57" s="3" t="s">
        <v>49</v>
      </c>
      <c r="N57" s="3"/>
      <c r="O57" s="3"/>
      <c r="P57" s="3"/>
      <c r="Q57" s="3"/>
      <c r="R57" s="3"/>
      <c r="S57" s="3"/>
      <c r="T57" s="3"/>
      <c r="U57" s="3"/>
      <c r="V57" s="6">
        <f t="shared" si="0"/>
        <v>2</v>
      </c>
    </row>
    <row r="58" spans="1:22" x14ac:dyDescent="0.25">
      <c r="A58" s="2" t="s">
        <v>30</v>
      </c>
      <c r="B58" s="3"/>
      <c r="C58" s="3"/>
      <c r="D58" s="3"/>
      <c r="E58" s="3"/>
      <c r="F58" s="3"/>
      <c r="G58" s="3"/>
      <c r="H58" s="3"/>
      <c r="I58" s="3"/>
      <c r="J58" s="3" t="s">
        <v>49</v>
      </c>
      <c r="K58" s="3"/>
      <c r="L58" s="3"/>
      <c r="M58" s="3"/>
      <c r="N58" s="3"/>
      <c r="O58" s="3"/>
      <c r="P58" s="3"/>
      <c r="Q58" s="3"/>
      <c r="R58" s="3"/>
      <c r="S58" s="3" t="s">
        <v>49</v>
      </c>
      <c r="T58" s="3"/>
      <c r="U58" s="3"/>
      <c r="V58" s="6">
        <f t="shared" si="0"/>
        <v>2</v>
      </c>
    </row>
    <row r="59" spans="1:22" x14ac:dyDescent="0.25">
      <c r="A59" s="2" t="s">
        <v>71</v>
      </c>
      <c r="B59" s="3"/>
      <c r="C59" s="3"/>
      <c r="D59" s="3"/>
      <c r="E59" s="3"/>
      <c r="F59" s="3"/>
      <c r="G59" s="3"/>
      <c r="H59" s="3"/>
      <c r="I59" s="3"/>
      <c r="J59" s="3"/>
      <c r="K59" s="3"/>
      <c r="L59" s="3"/>
      <c r="M59" s="3"/>
      <c r="N59" s="3"/>
      <c r="O59" s="3"/>
      <c r="P59" s="3"/>
      <c r="Q59" s="3"/>
      <c r="R59" s="3" t="s">
        <v>49</v>
      </c>
      <c r="S59" s="3"/>
      <c r="T59" s="3"/>
      <c r="U59" s="3"/>
      <c r="V59" s="6">
        <f t="shared" si="0"/>
        <v>1</v>
      </c>
    </row>
    <row r="60" spans="1:22" x14ac:dyDescent="0.25">
      <c r="A60" s="2" t="s">
        <v>60</v>
      </c>
      <c r="B60" s="3"/>
      <c r="C60" s="3"/>
      <c r="D60" s="3"/>
      <c r="E60" s="3"/>
      <c r="F60" s="3"/>
      <c r="G60" s="3"/>
      <c r="H60" s="3"/>
      <c r="I60" s="3"/>
      <c r="J60" s="3"/>
      <c r="K60" s="3"/>
      <c r="L60" s="3" t="s">
        <v>49</v>
      </c>
      <c r="M60" s="3"/>
      <c r="N60" s="3"/>
      <c r="O60" s="3"/>
      <c r="P60" s="3"/>
      <c r="Q60" s="3"/>
      <c r="R60" s="3"/>
      <c r="S60" s="3"/>
      <c r="T60" s="3"/>
      <c r="U60" s="3"/>
      <c r="V60" s="6">
        <f t="shared" si="0"/>
        <v>1</v>
      </c>
    </row>
    <row r="61" spans="1:22" x14ac:dyDescent="0.25">
      <c r="A61" s="2" t="s">
        <v>66</v>
      </c>
      <c r="B61" s="3"/>
      <c r="C61" s="3"/>
      <c r="D61" s="3"/>
      <c r="E61" s="3"/>
      <c r="F61" s="3"/>
      <c r="G61" s="3"/>
      <c r="H61" s="3"/>
      <c r="I61" s="3"/>
      <c r="J61" s="3"/>
      <c r="K61" s="3"/>
      <c r="L61" s="3"/>
      <c r="M61" s="3"/>
      <c r="N61" s="3" t="s">
        <v>49</v>
      </c>
      <c r="O61" s="3"/>
      <c r="P61" s="3"/>
      <c r="Q61" s="3"/>
      <c r="R61" s="3"/>
      <c r="S61" s="3"/>
      <c r="T61" s="3"/>
      <c r="U61" s="3"/>
      <c r="V61" s="6">
        <f t="shared" si="0"/>
        <v>1</v>
      </c>
    </row>
    <row r="62" spans="1:22" x14ac:dyDescent="0.25">
      <c r="A62" s="2" t="s">
        <v>10</v>
      </c>
      <c r="B62" s="3"/>
      <c r="C62" s="3"/>
      <c r="D62" s="3" t="s">
        <v>49</v>
      </c>
      <c r="E62" s="3"/>
      <c r="F62" s="3"/>
      <c r="G62" s="3"/>
      <c r="H62" s="3"/>
      <c r="I62" s="3"/>
      <c r="J62" s="3"/>
      <c r="K62" s="3"/>
      <c r="L62" s="3"/>
      <c r="M62" s="3"/>
      <c r="N62" s="3"/>
      <c r="O62" s="3"/>
      <c r="P62" s="3"/>
      <c r="Q62" s="3"/>
      <c r="R62" s="3"/>
      <c r="S62" s="3"/>
      <c r="T62" s="3"/>
      <c r="U62" s="3"/>
      <c r="V62" s="6">
        <f t="shared" si="0"/>
        <v>1</v>
      </c>
    </row>
    <row r="63" spans="1:22" x14ac:dyDescent="0.25">
      <c r="A63" s="2" t="s">
        <v>16</v>
      </c>
      <c r="B63" s="3"/>
      <c r="C63" s="3"/>
      <c r="D63" s="3"/>
      <c r="E63" s="3" t="s">
        <v>49</v>
      </c>
      <c r="F63" s="3"/>
      <c r="G63" s="3"/>
      <c r="H63" s="3"/>
      <c r="I63" s="3"/>
      <c r="J63" s="3"/>
      <c r="K63" s="3"/>
      <c r="L63" s="3"/>
      <c r="M63" s="3"/>
      <c r="N63" s="3"/>
      <c r="O63" s="3"/>
      <c r="P63" s="3"/>
      <c r="Q63" s="3"/>
      <c r="R63" s="3"/>
      <c r="S63" s="3"/>
      <c r="T63" s="3"/>
      <c r="U63" s="3"/>
      <c r="V63" s="6">
        <f t="shared" si="0"/>
        <v>1</v>
      </c>
    </row>
    <row r="64" spans="1:22" x14ac:dyDescent="0.25">
      <c r="A64" s="2" t="s">
        <v>6</v>
      </c>
      <c r="B64" s="3"/>
      <c r="C64" s="3" t="s">
        <v>49</v>
      </c>
      <c r="D64" s="3"/>
      <c r="E64" s="3"/>
      <c r="F64" s="3"/>
      <c r="G64" s="3"/>
      <c r="H64" s="3"/>
      <c r="I64" s="3"/>
      <c r="J64" s="3"/>
      <c r="K64" s="3"/>
      <c r="L64" s="3"/>
      <c r="M64" s="3"/>
      <c r="N64" s="3"/>
      <c r="O64" s="3"/>
      <c r="P64" s="3"/>
      <c r="Q64" s="3"/>
      <c r="R64" s="3"/>
      <c r="S64" s="3"/>
      <c r="T64" s="3"/>
      <c r="U64" s="3"/>
      <c r="V64" s="6">
        <f t="shared" si="0"/>
        <v>1</v>
      </c>
    </row>
    <row r="65" spans="1:22" x14ac:dyDescent="0.25">
      <c r="A65" s="2" t="s">
        <v>84</v>
      </c>
      <c r="B65" s="3"/>
      <c r="C65" s="3"/>
      <c r="D65" s="3"/>
      <c r="E65" s="3"/>
      <c r="F65" s="3"/>
      <c r="G65" s="3"/>
      <c r="H65" s="3"/>
      <c r="I65" s="3"/>
      <c r="J65" s="3" t="s">
        <v>49</v>
      </c>
      <c r="K65" s="3"/>
      <c r="L65" s="3"/>
      <c r="M65" s="3"/>
      <c r="N65" s="3"/>
      <c r="O65" s="3"/>
      <c r="P65" s="3"/>
      <c r="Q65" s="3"/>
      <c r="R65" s="3"/>
      <c r="S65" s="3"/>
      <c r="T65" s="3"/>
      <c r="U65" s="3"/>
      <c r="V65" s="6">
        <f t="shared" si="0"/>
        <v>1</v>
      </c>
    </row>
    <row r="66" spans="1:22" x14ac:dyDescent="0.25">
      <c r="A66" s="7" t="s">
        <v>83</v>
      </c>
      <c r="B66" s="2">
        <f>SUBTOTAL(3,B3:B65)</f>
        <v>5</v>
      </c>
      <c r="C66" s="2">
        <f t="shared" ref="C66:U66" si="1">SUBTOTAL(3,C3:C65)</f>
        <v>6</v>
      </c>
      <c r="D66" s="2">
        <f t="shared" si="1"/>
        <v>5</v>
      </c>
      <c r="E66" s="2">
        <f t="shared" si="1"/>
        <v>7</v>
      </c>
      <c r="F66" s="2">
        <f t="shared" si="1"/>
        <v>5</v>
      </c>
      <c r="G66" s="2">
        <f t="shared" si="1"/>
        <v>6</v>
      </c>
      <c r="H66" s="2">
        <f t="shared" si="1"/>
        <v>6</v>
      </c>
      <c r="I66" s="2">
        <f t="shared" si="1"/>
        <v>5</v>
      </c>
      <c r="J66" s="2">
        <f t="shared" si="1"/>
        <v>8</v>
      </c>
      <c r="K66" s="2">
        <f t="shared" si="1"/>
        <v>7</v>
      </c>
      <c r="L66" s="2">
        <f t="shared" si="1"/>
        <v>5</v>
      </c>
      <c r="M66" s="2">
        <f t="shared" si="1"/>
        <v>6</v>
      </c>
      <c r="N66" s="2">
        <f t="shared" si="1"/>
        <v>6</v>
      </c>
      <c r="O66" s="2">
        <f t="shared" si="1"/>
        <v>5</v>
      </c>
      <c r="P66" s="2">
        <f t="shared" si="1"/>
        <v>3</v>
      </c>
      <c r="Q66" s="2">
        <f t="shared" si="1"/>
        <v>3</v>
      </c>
      <c r="R66" s="2">
        <f t="shared" si="1"/>
        <v>6</v>
      </c>
      <c r="S66" s="2">
        <f t="shared" si="1"/>
        <v>7</v>
      </c>
      <c r="T66" s="2">
        <f t="shared" si="1"/>
        <v>6</v>
      </c>
      <c r="U66" s="2">
        <f t="shared" si="1"/>
        <v>7</v>
      </c>
    </row>
  </sheetData>
  <conditionalFormatting sqref="B66:U66">
    <cfRule type="colorScale" priority="3">
      <colorScale>
        <cfvo type="min"/>
        <cfvo type="max"/>
        <color rgb="FFFFEF9C"/>
        <color rgb="FF63BE7B"/>
      </colorScale>
    </cfRule>
  </conditionalFormatting>
  <conditionalFormatting sqref="V4:V65">
    <cfRule type="colorScale" priority="1">
      <colorScale>
        <cfvo type="min"/>
        <cfvo type="max"/>
        <color rgb="FFFFEF9C"/>
        <color rgb="FF63BE7B"/>
      </colorScale>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5AB95-376D-4AAE-B858-E09748827EED}">
  <sheetPr>
    <tabColor theme="6" tint="0.39997558519241921"/>
  </sheetPr>
  <dimension ref="A1:F56"/>
  <sheetViews>
    <sheetView workbookViewId="0"/>
  </sheetViews>
  <sheetFormatPr defaultColWidth="9.140625" defaultRowHeight="15.75" x14ac:dyDescent="0.25"/>
  <cols>
    <col min="1" max="1" width="23.85546875" style="10" customWidth="1"/>
    <col min="2" max="6" width="15.7109375" style="10" customWidth="1"/>
    <col min="7" max="16384" width="9.140625" style="10"/>
  </cols>
  <sheetData>
    <row r="1" spans="1:5" ht="24" customHeight="1" x14ac:dyDescent="0.35">
      <c r="A1" s="5" t="s">
        <v>242</v>
      </c>
    </row>
    <row r="4" spans="1:5" ht="18.75" x14ac:dyDescent="0.3">
      <c r="A4" s="19" t="s">
        <v>243</v>
      </c>
      <c r="B4" s="10" t="s">
        <v>244</v>
      </c>
    </row>
    <row r="5" spans="1:5" x14ac:dyDescent="0.25">
      <c r="A5" s="24"/>
      <c r="B5" s="10" t="s">
        <v>245</v>
      </c>
      <c r="C5" s="10" t="s">
        <v>246</v>
      </c>
    </row>
    <row r="6" spans="1:5" x14ac:dyDescent="0.25">
      <c r="A6" s="24"/>
      <c r="B6" s="10" t="s">
        <v>247</v>
      </c>
    </row>
    <row r="7" spans="1:5" x14ac:dyDescent="0.25">
      <c r="A7" s="24"/>
    </row>
    <row r="8" spans="1:5" ht="16.5" thickBot="1" x14ac:dyDescent="0.3">
      <c r="C8" s="35" t="s">
        <v>228</v>
      </c>
      <c r="D8" s="36">
        <v>10000</v>
      </c>
      <c r="E8" s="37" t="s">
        <v>248</v>
      </c>
    </row>
    <row r="9" spans="1:5" x14ac:dyDescent="0.25">
      <c r="B9" s="12" t="s">
        <v>249</v>
      </c>
      <c r="C9" s="15">
        <v>0.05</v>
      </c>
      <c r="D9" s="14">
        <v>10000</v>
      </c>
      <c r="E9" s="14">
        <f>(D9*C9)</f>
        <v>500</v>
      </c>
    </row>
    <row r="10" spans="1:5" x14ac:dyDescent="0.25">
      <c r="B10" s="12" t="s">
        <v>250</v>
      </c>
      <c r="C10" s="15">
        <v>0.05</v>
      </c>
      <c r="D10" s="14">
        <f t="shared" ref="D10:D13" si="0">(D9+E9)</f>
        <v>10500</v>
      </c>
      <c r="E10" s="14">
        <f t="shared" ref="E10:E13" si="1">(D10*C10)</f>
        <v>525</v>
      </c>
    </row>
    <row r="11" spans="1:5" x14ac:dyDescent="0.25">
      <c r="B11" s="12" t="s">
        <v>251</v>
      </c>
      <c r="C11" s="15">
        <v>3.5000000000000003E-2</v>
      </c>
      <c r="D11" s="14">
        <f t="shared" si="0"/>
        <v>11025</v>
      </c>
      <c r="E11" s="14">
        <f t="shared" si="1"/>
        <v>385.87500000000006</v>
      </c>
    </row>
    <row r="12" spans="1:5" x14ac:dyDescent="0.25">
      <c r="B12" s="12" t="s">
        <v>252</v>
      </c>
      <c r="C12" s="15">
        <v>3.5000000000000003E-2</v>
      </c>
      <c r="D12" s="14">
        <f t="shared" si="0"/>
        <v>11410.875</v>
      </c>
      <c r="E12" s="14">
        <f t="shared" si="1"/>
        <v>399.38062500000007</v>
      </c>
    </row>
    <row r="13" spans="1:5" x14ac:dyDescent="0.25">
      <c r="B13" s="12" t="s">
        <v>253</v>
      </c>
      <c r="C13" s="15">
        <v>3.5000000000000003E-2</v>
      </c>
      <c r="D13" s="14">
        <f t="shared" si="0"/>
        <v>11810.255625</v>
      </c>
      <c r="E13" s="14">
        <f t="shared" si="1"/>
        <v>413.35894687500002</v>
      </c>
    </row>
    <row r="14" spans="1:5" x14ac:dyDescent="0.25">
      <c r="D14" s="14"/>
      <c r="E14" s="14"/>
    </row>
    <row r="15" spans="1:5" x14ac:dyDescent="0.25">
      <c r="D15" s="13">
        <f>FVSCHEDULE($D$8,C9:C13)</f>
        <v>12223.614571874999</v>
      </c>
      <c r="E15" s="14">
        <f>SUM(E9:E13)</f>
        <v>2223.6145718749999</v>
      </c>
    </row>
    <row r="18" spans="1:6" ht="18.75" x14ac:dyDescent="0.3">
      <c r="A18" s="19" t="s">
        <v>254</v>
      </c>
      <c r="B18" s="10" t="s">
        <v>255</v>
      </c>
    </row>
    <row r="19" spans="1:6" x14ac:dyDescent="0.25">
      <c r="B19" s="10" t="s">
        <v>245</v>
      </c>
      <c r="C19" s="10" t="s">
        <v>256</v>
      </c>
    </row>
    <row r="20" spans="1:6" x14ac:dyDescent="0.25">
      <c r="B20" s="10" t="s">
        <v>257</v>
      </c>
    </row>
    <row r="22" spans="1:6" ht="16.5" thickBot="1" x14ac:dyDescent="0.3">
      <c r="C22" s="35" t="s">
        <v>228</v>
      </c>
      <c r="D22" s="36">
        <v>10000</v>
      </c>
      <c r="E22" s="37" t="s">
        <v>248</v>
      </c>
      <c r="F22" s="14">
        <v>15000</v>
      </c>
    </row>
    <row r="23" spans="1:6" x14ac:dyDescent="0.25">
      <c r="B23" s="12" t="s">
        <v>258</v>
      </c>
      <c r="C23" s="15">
        <v>0.04</v>
      </c>
      <c r="D23" s="14">
        <v>10000</v>
      </c>
      <c r="E23" s="14">
        <f>(D23*C23)</f>
        <v>400</v>
      </c>
    </row>
    <row r="24" spans="1:6" x14ac:dyDescent="0.25">
      <c r="B24" s="12" t="s">
        <v>249</v>
      </c>
      <c r="C24" s="15">
        <v>0.04</v>
      </c>
      <c r="D24" s="14">
        <f t="shared" ref="D24:D34" si="2">(D23+E23)</f>
        <v>10400</v>
      </c>
      <c r="E24" s="14">
        <f t="shared" ref="E24:E34" si="3">(D24*C24)</f>
        <v>416</v>
      </c>
    </row>
    <row r="25" spans="1:6" x14ac:dyDescent="0.25">
      <c r="B25" s="12" t="s">
        <v>250</v>
      </c>
      <c r="C25" s="15">
        <v>0.04</v>
      </c>
      <c r="D25" s="14">
        <f t="shared" si="2"/>
        <v>10816</v>
      </c>
      <c r="E25" s="14">
        <f t="shared" si="3"/>
        <v>432.64</v>
      </c>
    </row>
    <row r="26" spans="1:6" x14ac:dyDescent="0.25">
      <c r="B26" s="12" t="s">
        <v>251</v>
      </c>
      <c r="C26" s="15">
        <v>0.04</v>
      </c>
      <c r="D26" s="14">
        <f t="shared" si="2"/>
        <v>11248.64</v>
      </c>
      <c r="E26" s="14">
        <f t="shared" si="3"/>
        <v>449.94560000000001</v>
      </c>
    </row>
    <row r="27" spans="1:6" x14ac:dyDescent="0.25">
      <c r="B27" s="12" t="s">
        <v>252</v>
      </c>
      <c r="C27" s="15">
        <v>0.04</v>
      </c>
      <c r="D27" s="14">
        <f t="shared" si="2"/>
        <v>11698.585599999999</v>
      </c>
      <c r="E27" s="14">
        <f t="shared" si="3"/>
        <v>467.94342399999994</v>
      </c>
    </row>
    <row r="28" spans="1:6" x14ac:dyDescent="0.25">
      <c r="B28" s="12" t="s">
        <v>253</v>
      </c>
      <c r="C28" s="15">
        <v>0.04</v>
      </c>
      <c r="D28" s="14">
        <f t="shared" si="2"/>
        <v>12166.529023999998</v>
      </c>
      <c r="E28" s="14">
        <f t="shared" si="3"/>
        <v>486.6611609599999</v>
      </c>
    </row>
    <row r="29" spans="1:6" x14ac:dyDescent="0.25">
      <c r="B29" s="12" t="s">
        <v>259</v>
      </c>
      <c r="C29" s="15">
        <v>0.04</v>
      </c>
      <c r="D29" s="14">
        <f t="shared" si="2"/>
        <v>12653.190184959998</v>
      </c>
      <c r="E29" s="14">
        <f t="shared" si="3"/>
        <v>506.12760739839996</v>
      </c>
    </row>
    <row r="30" spans="1:6" x14ac:dyDescent="0.25">
      <c r="B30" s="12" t="s">
        <v>260</v>
      </c>
      <c r="C30" s="15">
        <v>0.04</v>
      </c>
      <c r="D30" s="14">
        <f t="shared" si="2"/>
        <v>13159.317792358397</v>
      </c>
      <c r="E30" s="14">
        <f t="shared" si="3"/>
        <v>526.37271169433586</v>
      </c>
    </row>
    <row r="31" spans="1:6" x14ac:dyDescent="0.25">
      <c r="B31" s="12" t="s">
        <v>261</v>
      </c>
      <c r="C31" s="15">
        <v>0.04</v>
      </c>
      <c r="D31" s="14">
        <f t="shared" si="2"/>
        <v>13685.690504052733</v>
      </c>
      <c r="E31" s="14">
        <f t="shared" si="3"/>
        <v>547.42762016210929</v>
      </c>
    </row>
    <row r="32" spans="1:6" x14ac:dyDescent="0.25">
      <c r="B32" s="12" t="s">
        <v>262</v>
      </c>
      <c r="C32" s="15">
        <v>0.04</v>
      </c>
      <c r="D32" s="14">
        <f t="shared" si="2"/>
        <v>14233.118124214841</v>
      </c>
      <c r="E32" s="14">
        <f t="shared" si="3"/>
        <v>569.32472496859361</v>
      </c>
    </row>
    <row r="33" spans="1:6" ht="16.5" thickBot="1" x14ac:dyDescent="0.3">
      <c r="B33" s="12" t="s">
        <v>263</v>
      </c>
      <c r="C33" s="15">
        <v>0.04</v>
      </c>
      <c r="D33" s="36">
        <f t="shared" si="2"/>
        <v>14802.442849183435</v>
      </c>
      <c r="E33" s="14">
        <f t="shared" si="3"/>
        <v>592.09771396733743</v>
      </c>
    </row>
    <row r="34" spans="1:6" x14ac:dyDescent="0.25">
      <c r="B34" s="12" t="s">
        <v>264</v>
      </c>
      <c r="C34" s="15">
        <v>0.04</v>
      </c>
      <c r="D34" s="14">
        <f t="shared" si="2"/>
        <v>15394.540563150773</v>
      </c>
      <c r="E34" s="14">
        <f t="shared" si="3"/>
        <v>615.7816225260309</v>
      </c>
    </row>
    <row r="36" spans="1:6" x14ac:dyDescent="0.25">
      <c r="B36" s="38">
        <f>_xlfn.PDURATION(C23,D22,F22)</f>
        <v>10.338035071507649</v>
      </c>
      <c r="E36" s="14">
        <f>SUM(E23:E35)</f>
        <v>6010.3221856768077</v>
      </c>
    </row>
    <row r="39" spans="1:6" ht="18.75" x14ac:dyDescent="0.3">
      <c r="A39" s="19" t="s">
        <v>265</v>
      </c>
      <c r="B39" s="10" t="s">
        <v>266</v>
      </c>
    </row>
    <row r="40" spans="1:6" x14ac:dyDescent="0.25">
      <c r="B40" s="10" t="s">
        <v>245</v>
      </c>
      <c r="C40" s="10" t="s">
        <v>267</v>
      </c>
    </row>
    <row r="41" spans="1:6" x14ac:dyDescent="0.25">
      <c r="B41" s="10" t="s">
        <v>268</v>
      </c>
    </row>
    <row r="43" spans="1:6" ht="16.5" thickBot="1" x14ac:dyDescent="0.3">
      <c r="C43" s="35" t="s">
        <v>228</v>
      </c>
      <c r="D43" s="36">
        <v>10000</v>
      </c>
      <c r="E43" s="37" t="s">
        <v>248</v>
      </c>
      <c r="F43" s="14">
        <v>15000</v>
      </c>
    </row>
    <row r="44" spans="1:6" x14ac:dyDescent="0.25">
      <c r="B44" s="12" t="s">
        <v>258</v>
      </c>
      <c r="C44" s="15">
        <v>0.04</v>
      </c>
      <c r="D44" s="14">
        <v>10000</v>
      </c>
      <c r="E44" s="14">
        <f>(D44*C44)</f>
        <v>400</v>
      </c>
    </row>
    <row r="45" spans="1:6" x14ac:dyDescent="0.25">
      <c r="B45" s="12" t="s">
        <v>249</v>
      </c>
      <c r="C45" s="15">
        <v>0.04</v>
      </c>
      <c r="D45" s="14">
        <f t="shared" ref="D45:D54" si="4">(D44+E44)</f>
        <v>10400</v>
      </c>
      <c r="E45" s="14">
        <f t="shared" ref="E45:E54" si="5">(D45*C45)</f>
        <v>416</v>
      </c>
    </row>
    <row r="46" spans="1:6" x14ac:dyDescent="0.25">
      <c r="B46" s="12" t="s">
        <v>250</v>
      </c>
      <c r="C46" s="15">
        <v>0.04</v>
      </c>
      <c r="D46" s="14">
        <f t="shared" si="4"/>
        <v>10816</v>
      </c>
      <c r="E46" s="14">
        <f t="shared" si="5"/>
        <v>432.64</v>
      </c>
    </row>
    <row r="47" spans="1:6" x14ac:dyDescent="0.25">
      <c r="B47" s="12" t="s">
        <v>251</v>
      </c>
      <c r="C47" s="15">
        <v>0.04</v>
      </c>
      <c r="D47" s="14">
        <f t="shared" si="4"/>
        <v>11248.64</v>
      </c>
      <c r="E47" s="14">
        <f t="shared" si="5"/>
        <v>449.94560000000001</v>
      </c>
    </row>
    <row r="48" spans="1:6" x14ac:dyDescent="0.25">
      <c r="B48" s="12" t="s">
        <v>252</v>
      </c>
      <c r="C48" s="15">
        <v>0.04</v>
      </c>
      <c r="D48" s="14">
        <f t="shared" si="4"/>
        <v>11698.585599999999</v>
      </c>
      <c r="E48" s="14">
        <f t="shared" si="5"/>
        <v>467.94342399999994</v>
      </c>
    </row>
    <row r="49" spans="2:5" x14ac:dyDescent="0.25">
      <c r="B49" s="12" t="s">
        <v>253</v>
      </c>
      <c r="C49" s="15">
        <v>0.04</v>
      </c>
      <c r="D49" s="14">
        <f t="shared" si="4"/>
        <v>12166.529023999998</v>
      </c>
      <c r="E49" s="14">
        <f t="shared" si="5"/>
        <v>486.6611609599999</v>
      </c>
    </row>
    <row r="50" spans="2:5" x14ac:dyDescent="0.25">
      <c r="B50" s="12" t="s">
        <v>259</v>
      </c>
      <c r="C50" s="15">
        <v>0.04</v>
      </c>
      <c r="D50" s="14">
        <f t="shared" si="4"/>
        <v>12653.190184959998</v>
      </c>
      <c r="E50" s="14">
        <f t="shared" si="5"/>
        <v>506.12760739839996</v>
      </c>
    </row>
    <row r="51" spans="2:5" x14ac:dyDescent="0.25">
      <c r="B51" s="12" t="s">
        <v>260</v>
      </c>
      <c r="C51" s="15">
        <v>0.04</v>
      </c>
      <c r="D51" s="14">
        <f t="shared" si="4"/>
        <v>13159.317792358397</v>
      </c>
      <c r="E51" s="14">
        <f t="shared" si="5"/>
        <v>526.37271169433586</v>
      </c>
    </row>
    <row r="52" spans="2:5" x14ac:dyDescent="0.25">
      <c r="B52" s="12" t="s">
        <v>261</v>
      </c>
      <c r="C52" s="15">
        <v>0.04</v>
      </c>
      <c r="D52" s="14">
        <f t="shared" si="4"/>
        <v>13685.690504052733</v>
      </c>
      <c r="E52" s="14">
        <f t="shared" si="5"/>
        <v>547.42762016210929</v>
      </c>
    </row>
    <row r="53" spans="2:5" x14ac:dyDescent="0.25">
      <c r="B53" s="12" t="s">
        <v>262</v>
      </c>
      <c r="C53" s="15">
        <v>0.04</v>
      </c>
      <c r="D53" s="14">
        <f t="shared" si="4"/>
        <v>14233.118124214841</v>
      </c>
      <c r="E53" s="14">
        <f t="shared" si="5"/>
        <v>569.32472496859361</v>
      </c>
    </row>
    <row r="54" spans="2:5" x14ac:dyDescent="0.25">
      <c r="B54" s="12" t="s">
        <v>263</v>
      </c>
      <c r="C54" s="15">
        <v>0.04</v>
      </c>
      <c r="D54" s="14">
        <f t="shared" si="4"/>
        <v>14802.442849183435</v>
      </c>
      <c r="E54" s="14">
        <f t="shared" si="5"/>
        <v>592.09771396733743</v>
      </c>
    </row>
    <row r="56" spans="2:5" x14ac:dyDescent="0.25">
      <c r="C56" s="16">
        <f>_xlfn.RRI(10,D43,F43)</f>
        <v>4.1379743992410623E-2</v>
      </c>
      <c r="E56" s="14">
        <f>SUM(E44:E55)</f>
        <v>5394.5405631507765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B01-D635-4509-8B56-9C22FDEA3E82}">
  <sheetPr>
    <tabColor theme="6" tint="0.39997558519241921"/>
  </sheetPr>
  <dimension ref="A1:H109"/>
  <sheetViews>
    <sheetView workbookViewId="0"/>
  </sheetViews>
  <sheetFormatPr defaultColWidth="9.140625" defaultRowHeight="18.75" x14ac:dyDescent="0.3"/>
  <cols>
    <col min="1" max="1" width="23.85546875" style="20" customWidth="1"/>
    <col min="2" max="8" width="15.7109375" style="10" customWidth="1"/>
    <col min="9" max="16384" width="9.140625" style="10"/>
  </cols>
  <sheetData>
    <row r="1" spans="1:6" ht="24" customHeight="1" x14ac:dyDescent="0.35">
      <c r="A1" s="5" t="s">
        <v>269</v>
      </c>
    </row>
    <row r="4" spans="1:6" x14ac:dyDescent="0.3">
      <c r="A4" s="19" t="s">
        <v>270</v>
      </c>
      <c r="B4" s="10" t="s">
        <v>271</v>
      </c>
    </row>
    <row r="5" spans="1:6" x14ac:dyDescent="0.3">
      <c r="A5" s="19"/>
      <c r="B5" s="10" t="s">
        <v>245</v>
      </c>
      <c r="C5" s="10" t="s">
        <v>272</v>
      </c>
    </row>
    <row r="6" spans="1:6" x14ac:dyDescent="0.3">
      <c r="A6" s="19"/>
      <c r="C6" s="10" t="s">
        <v>273</v>
      </c>
    </row>
    <row r="7" spans="1:6" x14ac:dyDescent="0.3">
      <c r="A7" s="19"/>
      <c r="B7" s="10" t="s">
        <v>274</v>
      </c>
    </row>
    <row r="8" spans="1:6" x14ac:dyDescent="0.3">
      <c r="A8" s="19"/>
    </row>
    <row r="9" spans="1:6" ht="19.5" thickBot="1" x14ac:dyDescent="0.35">
      <c r="C9" s="35" t="s">
        <v>228</v>
      </c>
      <c r="D9" s="36">
        <v>50000</v>
      </c>
      <c r="E9" s="37" t="s">
        <v>248</v>
      </c>
      <c r="F9" s="35" t="s">
        <v>275</v>
      </c>
    </row>
    <row r="10" spans="1:6" x14ac:dyDescent="0.3">
      <c r="B10" s="12" t="s">
        <v>249</v>
      </c>
      <c r="C10" s="15">
        <v>0.05</v>
      </c>
      <c r="D10" s="14">
        <v>50000</v>
      </c>
      <c r="E10" s="39">
        <f>CUMIPMT(C10/12,60,D10,1,12,0)</f>
        <v>-2294.9775373266384</v>
      </c>
      <c r="F10" s="40" t="s">
        <v>276</v>
      </c>
    </row>
    <row r="11" spans="1:6" x14ac:dyDescent="0.3">
      <c r="B11" s="12" t="s">
        <v>250</v>
      </c>
      <c r="C11" s="15">
        <v>0.05</v>
      </c>
      <c r="D11" s="14">
        <v>50000</v>
      </c>
      <c r="E11" s="39">
        <f t="shared" ref="E11:E14" si="0">CUMIPMT(C11/12,60,D11,1,12,0)</f>
        <v>-2294.9775373266384</v>
      </c>
      <c r="F11" s="12" t="s">
        <v>277</v>
      </c>
    </row>
    <row r="12" spans="1:6" x14ac:dyDescent="0.3">
      <c r="B12" s="12" t="s">
        <v>251</v>
      </c>
      <c r="C12" s="15">
        <v>0.05</v>
      </c>
      <c r="D12" s="14">
        <v>50000</v>
      </c>
      <c r="E12" s="39">
        <f t="shared" si="0"/>
        <v>-2294.9775373266384</v>
      </c>
      <c r="F12" s="12" t="s">
        <v>278</v>
      </c>
    </row>
    <row r="13" spans="1:6" x14ac:dyDescent="0.3">
      <c r="B13" s="12" t="s">
        <v>252</v>
      </c>
      <c r="C13" s="15">
        <v>0.05</v>
      </c>
      <c r="D13" s="14">
        <v>50000</v>
      </c>
      <c r="E13" s="39">
        <f t="shared" si="0"/>
        <v>-2294.9775373266384</v>
      </c>
      <c r="F13" s="12" t="s">
        <v>279</v>
      </c>
    </row>
    <row r="14" spans="1:6" x14ac:dyDescent="0.3">
      <c r="B14" s="12" t="s">
        <v>253</v>
      </c>
      <c r="C14" s="15">
        <v>0.05</v>
      </c>
      <c r="D14" s="14">
        <v>50000</v>
      </c>
      <c r="E14" s="39">
        <f t="shared" si="0"/>
        <v>-2294.9775373266384</v>
      </c>
      <c r="F14" s="12" t="s">
        <v>280</v>
      </c>
    </row>
    <row r="15" spans="1:6" x14ac:dyDescent="0.3">
      <c r="D15" s="14"/>
      <c r="E15" s="14"/>
    </row>
    <row r="16" spans="1:6" x14ac:dyDescent="0.3">
      <c r="D16" s="39"/>
      <c r="E16" s="14">
        <f>SUM(E10:E15)</f>
        <v>-11474.887686633192</v>
      </c>
    </row>
    <row r="17" spans="1:6" x14ac:dyDescent="0.3">
      <c r="D17" s="39"/>
      <c r="E17" s="14"/>
    </row>
    <row r="19" spans="1:6" x14ac:dyDescent="0.3">
      <c r="A19" s="19" t="s">
        <v>281</v>
      </c>
      <c r="B19" s="10" t="s">
        <v>282</v>
      </c>
    </row>
    <row r="20" spans="1:6" x14ac:dyDescent="0.3">
      <c r="B20" s="10" t="s">
        <v>245</v>
      </c>
      <c r="C20" s="10" t="s">
        <v>283</v>
      </c>
    </row>
    <row r="21" spans="1:6" x14ac:dyDescent="0.3">
      <c r="C21" s="10" t="s">
        <v>273</v>
      </c>
    </row>
    <row r="22" spans="1:6" x14ac:dyDescent="0.3">
      <c r="B22" s="10" t="s">
        <v>284</v>
      </c>
    </row>
    <row r="24" spans="1:6" ht="19.5" thickBot="1" x14ac:dyDescent="0.35">
      <c r="C24" s="35" t="s">
        <v>228</v>
      </c>
      <c r="D24" s="36">
        <v>50000</v>
      </c>
      <c r="E24" s="37" t="s">
        <v>285</v>
      </c>
      <c r="F24" s="35" t="s">
        <v>275</v>
      </c>
    </row>
    <row r="25" spans="1:6" x14ac:dyDescent="0.3">
      <c r="B25" s="12" t="s">
        <v>249</v>
      </c>
      <c r="C25" s="15">
        <v>0.05</v>
      </c>
      <c r="D25" s="14">
        <v>50000</v>
      </c>
      <c r="E25" s="39">
        <f>CUMPRINC(C25/12,60,D25,1,12,0)</f>
        <v>-9027.762649079923</v>
      </c>
      <c r="F25" s="40" t="s">
        <v>276</v>
      </c>
    </row>
    <row r="26" spans="1:6" x14ac:dyDescent="0.3">
      <c r="B26" s="12" t="s">
        <v>250</v>
      </c>
      <c r="C26" s="15">
        <v>0.05</v>
      </c>
      <c r="D26" s="14">
        <v>50000</v>
      </c>
      <c r="E26" s="39">
        <f>CUMPRINC(C26/12,60,D26,13,24,0)</f>
        <v>-9489.640119832673</v>
      </c>
      <c r="F26" s="12" t="s">
        <v>277</v>
      </c>
    </row>
    <row r="27" spans="1:6" x14ac:dyDescent="0.3">
      <c r="B27" s="12" t="s">
        <v>251</v>
      </c>
      <c r="C27" s="15">
        <v>0.05</v>
      </c>
      <c r="D27" s="14">
        <v>50000</v>
      </c>
      <c r="E27" s="39">
        <f>CUMPRINC(C27/12,60,D27,25,36,0)</f>
        <v>-9975.1481185779521</v>
      </c>
      <c r="F27" s="12" t="s">
        <v>278</v>
      </c>
    </row>
    <row r="28" spans="1:6" x14ac:dyDescent="0.3">
      <c r="B28" s="12" t="s">
        <v>252</v>
      </c>
      <c r="C28" s="15">
        <v>0.05</v>
      </c>
      <c r="D28" s="14">
        <v>50000</v>
      </c>
      <c r="E28" s="39">
        <f>CUMPRINC(C28/12,60,D28,37,48,0)</f>
        <v>-10485.495627975799</v>
      </c>
      <c r="F28" s="12" t="s">
        <v>279</v>
      </c>
    </row>
    <row r="29" spans="1:6" x14ac:dyDescent="0.3">
      <c r="B29" s="12" t="s">
        <v>253</v>
      </c>
      <c r="C29" s="15">
        <v>0.05</v>
      </c>
      <c r="D29" s="14">
        <v>50000</v>
      </c>
      <c r="E29" s="39">
        <f>CUMPRINC(C29/12,60,D29,49,60,0)</f>
        <v>-11021.953484533657</v>
      </c>
      <c r="F29" s="12" t="s">
        <v>280</v>
      </c>
    </row>
    <row r="30" spans="1:6" x14ac:dyDescent="0.3">
      <c r="D30" s="14"/>
      <c r="E30" s="14"/>
    </row>
    <row r="31" spans="1:6" x14ac:dyDescent="0.3">
      <c r="D31" s="39"/>
      <c r="E31" s="14">
        <f>SUM(E25:E30)</f>
        <v>-50000</v>
      </c>
    </row>
    <row r="34" spans="1:8" x14ac:dyDescent="0.3">
      <c r="A34" s="19" t="s">
        <v>286</v>
      </c>
      <c r="B34" s="10" t="s">
        <v>287</v>
      </c>
    </row>
    <row r="35" spans="1:8" x14ac:dyDescent="0.3">
      <c r="B35" s="10" t="s">
        <v>288</v>
      </c>
    </row>
    <row r="37" spans="1:8" x14ac:dyDescent="0.3">
      <c r="B37" s="41">
        <v>1000</v>
      </c>
      <c r="C37" s="12" t="s">
        <v>289</v>
      </c>
      <c r="D37" s="12">
        <v>5</v>
      </c>
      <c r="E37" s="12" t="s">
        <v>290</v>
      </c>
      <c r="F37" s="26">
        <v>0.05</v>
      </c>
      <c r="H37" s="10" t="s">
        <v>291</v>
      </c>
    </row>
    <row r="39" spans="1:8" x14ac:dyDescent="0.3">
      <c r="F39" s="42">
        <f>FV(F37/12,D37*12,-B37,0,0)</f>
        <v>68006.082840843374</v>
      </c>
    </row>
    <row r="41" spans="1:8" x14ac:dyDescent="0.3">
      <c r="B41" s="41">
        <v>2000</v>
      </c>
      <c r="C41" s="12" t="s">
        <v>292</v>
      </c>
      <c r="D41" s="12">
        <v>4</v>
      </c>
      <c r="E41" s="12" t="s">
        <v>290</v>
      </c>
      <c r="F41" s="26">
        <v>0.1</v>
      </c>
      <c r="H41" s="10" t="s">
        <v>293</v>
      </c>
    </row>
    <row r="43" spans="1:8" x14ac:dyDescent="0.3">
      <c r="F43" s="42">
        <f>FV(F41/4,D41*4,-B41,0,1)</f>
        <v>39729.460894166165</v>
      </c>
    </row>
    <row r="46" spans="1:8" x14ac:dyDescent="0.3">
      <c r="A46" s="19" t="s">
        <v>294</v>
      </c>
      <c r="B46" s="10" t="s">
        <v>295</v>
      </c>
    </row>
    <row r="47" spans="1:8" x14ac:dyDescent="0.3">
      <c r="A47" s="19"/>
      <c r="B47" s="10" t="s">
        <v>245</v>
      </c>
      <c r="C47" s="10" t="s">
        <v>296</v>
      </c>
    </row>
    <row r="48" spans="1:8" x14ac:dyDescent="0.3">
      <c r="B48" s="10" t="s">
        <v>297</v>
      </c>
    </row>
    <row r="50" spans="1:8" x14ac:dyDescent="0.3">
      <c r="B50" s="14">
        <v>50000</v>
      </c>
      <c r="C50" s="12" t="s">
        <v>298</v>
      </c>
      <c r="D50" s="12">
        <v>5</v>
      </c>
      <c r="E50" s="12" t="s">
        <v>290</v>
      </c>
      <c r="F50" s="26">
        <v>0.05</v>
      </c>
      <c r="G50" s="10" t="s">
        <v>299</v>
      </c>
      <c r="H50" s="10" t="s">
        <v>291</v>
      </c>
    </row>
    <row r="52" spans="1:8" x14ac:dyDescent="0.3">
      <c r="C52" s="10" t="s">
        <v>300</v>
      </c>
      <c r="D52" s="43">
        <f>IPMT(F50/12,1,60,B50,0)</f>
        <v>-208.33333333333334</v>
      </c>
    </row>
    <row r="53" spans="1:8" x14ac:dyDescent="0.3">
      <c r="C53" s="10" t="s">
        <v>301</v>
      </c>
      <c r="D53" s="43">
        <f>IPMT(F50/12,2,60,B50,0)</f>
        <v>-205.26988187971992</v>
      </c>
    </row>
    <row r="56" spans="1:8" x14ac:dyDescent="0.3">
      <c r="A56" s="19" t="s">
        <v>302</v>
      </c>
      <c r="B56" s="14" t="s">
        <v>303</v>
      </c>
      <c r="C56" s="12"/>
      <c r="D56" s="12"/>
      <c r="E56" s="12"/>
      <c r="F56" s="26"/>
    </row>
    <row r="57" spans="1:8" x14ac:dyDescent="0.3">
      <c r="B57" s="10" t="s">
        <v>245</v>
      </c>
      <c r="C57" s="10" t="s">
        <v>304</v>
      </c>
    </row>
    <row r="58" spans="1:8" x14ac:dyDescent="0.3">
      <c r="B58" s="10" t="s">
        <v>305</v>
      </c>
    </row>
    <row r="59" spans="1:8" x14ac:dyDescent="0.3">
      <c r="D59" s="44"/>
    </row>
    <row r="60" spans="1:8" x14ac:dyDescent="0.3">
      <c r="B60" s="14">
        <v>50000</v>
      </c>
      <c r="C60" s="12" t="s">
        <v>298</v>
      </c>
      <c r="D60" s="41">
        <v>6000</v>
      </c>
      <c r="E60" s="12" t="s">
        <v>306</v>
      </c>
      <c r="F60" s="26">
        <v>0.04</v>
      </c>
      <c r="G60" s="10" t="s">
        <v>307</v>
      </c>
      <c r="H60" s="10" t="s">
        <v>291</v>
      </c>
    </row>
    <row r="62" spans="1:8" x14ac:dyDescent="0.3">
      <c r="F62" s="38">
        <f>NPER(F60,-D60,B60,0)</f>
        <v>10.338035071507665</v>
      </c>
    </row>
    <row r="65" spans="1:8" x14ac:dyDescent="0.3">
      <c r="A65" s="19" t="s">
        <v>308</v>
      </c>
      <c r="B65" s="10" t="s">
        <v>309</v>
      </c>
    </row>
    <row r="66" spans="1:8" x14ac:dyDescent="0.3">
      <c r="B66" s="10" t="s">
        <v>245</v>
      </c>
      <c r="C66" s="10" t="s">
        <v>310</v>
      </c>
    </row>
    <row r="67" spans="1:8" x14ac:dyDescent="0.3">
      <c r="B67" s="10" t="s">
        <v>311</v>
      </c>
    </row>
    <row r="69" spans="1:8" x14ac:dyDescent="0.3">
      <c r="B69" s="14">
        <v>50000</v>
      </c>
      <c r="C69" s="12" t="s">
        <v>298</v>
      </c>
      <c r="D69" s="12">
        <v>5</v>
      </c>
      <c r="E69" s="12" t="s">
        <v>290</v>
      </c>
      <c r="F69" s="26">
        <v>0.05</v>
      </c>
      <c r="G69" s="10" t="s">
        <v>299</v>
      </c>
      <c r="H69" s="10" t="s">
        <v>291</v>
      </c>
    </row>
    <row r="71" spans="1:8" x14ac:dyDescent="0.3">
      <c r="F71" s="43">
        <f>PMT(F69/12,D69*12,B69,0,0)</f>
        <v>-943.56168220054678</v>
      </c>
    </row>
    <row r="74" spans="1:8" x14ac:dyDescent="0.3">
      <c r="A74" s="19" t="s">
        <v>312</v>
      </c>
      <c r="B74" s="10" t="s">
        <v>295</v>
      </c>
    </row>
    <row r="75" spans="1:8" x14ac:dyDescent="0.3">
      <c r="B75" s="10" t="s">
        <v>245</v>
      </c>
      <c r="C75" s="10" t="s">
        <v>296</v>
      </c>
    </row>
    <row r="76" spans="1:8" x14ac:dyDescent="0.3">
      <c r="B76" s="10" t="s">
        <v>297</v>
      </c>
    </row>
    <row r="78" spans="1:8" x14ac:dyDescent="0.3">
      <c r="B78" s="14">
        <v>50000</v>
      </c>
      <c r="C78" s="12" t="s">
        <v>298</v>
      </c>
      <c r="D78" s="12">
        <v>5</v>
      </c>
      <c r="E78" s="12" t="s">
        <v>290</v>
      </c>
      <c r="F78" s="26">
        <v>0.05</v>
      </c>
      <c r="G78" s="10" t="s">
        <v>299</v>
      </c>
      <c r="H78" s="10" t="s">
        <v>291</v>
      </c>
    </row>
    <row r="80" spans="1:8" x14ac:dyDescent="0.3">
      <c r="C80" s="10" t="s">
        <v>300</v>
      </c>
      <c r="D80" s="43">
        <f>PPMT(F78/12,1,60,B78,0)</f>
        <v>-735.22834886721341</v>
      </c>
    </row>
    <row r="81" spans="1:8" x14ac:dyDescent="0.3">
      <c r="C81" s="10" t="s">
        <v>301</v>
      </c>
      <c r="D81" s="43">
        <f>PPMT(F78/12,2,60,B78,0)</f>
        <v>-738.29180032082684</v>
      </c>
    </row>
    <row r="84" spans="1:8" x14ac:dyDescent="0.3">
      <c r="A84" s="19" t="s">
        <v>313</v>
      </c>
      <c r="B84" s="10" t="s">
        <v>314</v>
      </c>
    </row>
    <row r="85" spans="1:8" x14ac:dyDescent="0.3">
      <c r="B85" s="10" t="s">
        <v>245</v>
      </c>
      <c r="C85" s="10" t="s">
        <v>315</v>
      </c>
    </row>
    <row r="86" spans="1:8" x14ac:dyDescent="0.3">
      <c r="B86" s="10" t="s">
        <v>316</v>
      </c>
    </row>
    <row r="88" spans="1:8" x14ac:dyDescent="0.3">
      <c r="B88" s="14">
        <v>1000</v>
      </c>
      <c r="C88" s="12" t="s">
        <v>317</v>
      </c>
      <c r="D88" s="12">
        <v>5</v>
      </c>
      <c r="E88" s="12" t="s">
        <v>290</v>
      </c>
      <c r="F88" s="26">
        <v>0.05</v>
      </c>
      <c r="G88" s="10" t="s">
        <v>299</v>
      </c>
      <c r="H88" s="10" t="s">
        <v>291</v>
      </c>
    </row>
    <row r="90" spans="1:8" x14ac:dyDescent="0.3">
      <c r="F90" s="43">
        <f>PV(F88/12,D88*12,B88,0,0)</f>
        <v>-52990.706323927479</v>
      </c>
    </row>
    <row r="92" spans="1:8" x14ac:dyDescent="0.3">
      <c r="B92" s="41">
        <v>2000</v>
      </c>
      <c r="C92" s="12" t="s">
        <v>292</v>
      </c>
      <c r="D92" s="12">
        <v>4</v>
      </c>
      <c r="E92" s="12" t="s">
        <v>290</v>
      </c>
      <c r="F92" s="26">
        <v>0.1</v>
      </c>
      <c r="H92" s="10" t="s">
        <v>293</v>
      </c>
    </row>
    <row r="94" spans="1:8" x14ac:dyDescent="0.3">
      <c r="F94" s="43">
        <f>PV(F92/4,D92*4,B92,0,1)</f>
        <v>-26762.755452881123</v>
      </c>
    </row>
    <row r="97" spans="1:8" x14ac:dyDescent="0.3">
      <c r="A97" s="19" t="s">
        <v>318</v>
      </c>
      <c r="B97" s="10" t="s">
        <v>319</v>
      </c>
    </row>
    <row r="98" spans="1:8" x14ac:dyDescent="0.3">
      <c r="B98" s="10" t="s">
        <v>245</v>
      </c>
      <c r="C98" s="10" t="s">
        <v>320</v>
      </c>
    </row>
    <row r="99" spans="1:8" x14ac:dyDescent="0.3">
      <c r="B99" s="10" t="s">
        <v>321</v>
      </c>
    </row>
    <row r="101" spans="1:8" x14ac:dyDescent="0.3">
      <c r="B101" s="14">
        <v>50000</v>
      </c>
      <c r="C101" s="12" t="s">
        <v>298</v>
      </c>
      <c r="D101" s="12">
        <v>5</v>
      </c>
      <c r="E101" s="12" t="s">
        <v>322</v>
      </c>
      <c r="F101" s="41">
        <v>1000</v>
      </c>
      <c r="G101" s="10" t="s">
        <v>323</v>
      </c>
      <c r="H101" s="10" t="s">
        <v>291</v>
      </c>
    </row>
    <row r="103" spans="1:8" x14ac:dyDescent="0.3">
      <c r="F103" s="16">
        <f>RATE(D101*12,-F101,B101)</f>
        <v>6.1834131612537669E-3</v>
      </c>
      <c r="G103" s="12" t="s">
        <v>324</v>
      </c>
      <c r="H103" s="16">
        <f>(F103*12)</f>
        <v>7.4200957935045206E-2</v>
      </c>
    </row>
    <row r="105" spans="1:8" x14ac:dyDescent="0.3">
      <c r="B105" s="10" t="s">
        <v>245</v>
      </c>
      <c r="C105" s="10" t="s">
        <v>325</v>
      </c>
    </row>
    <row r="107" spans="1:8" x14ac:dyDescent="0.3">
      <c r="B107" s="14">
        <v>20000</v>
      </c>
      <c r="C107" s="12" t="s">
        <v>326</v>
      </c>
      <c r="D107" s="12">
        <v>2</v>
      </c>
      <c r="E107" s="12" t="s">
        <v>322</v>
      </c>
      <c r="F107" s="41">
        <v>800</v>
      </c>
      <c r="G107" s="10" t="s">
        <v>323</v>
      </c>
      <c r="H107" s="10" t="s">
        <v>293</v>
      </c>
    </row>
    <row r="109" spans="1:8" x14ac:dyDescent="0.3">
      <c r="F109" s="16">
        <f>RATE(D107*12,-F107,0,B107,1)</f>
        <v>3.2508435016111877E-3</v>
      </c>
      <c r="G109" s="12" t="s">
        <v>324</v>
      </c>
      <c r="H109" s="16">
        <f>(F109*12)</f>
        <v>3.9010122019334251E-2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4FC2-B73F-41E5-AFC0-CAA9C466D7C5}">
  <sheetPr>
    <tabColor theme="6" tint="0.39997558519241921"/>
  </sheetPr>
  <dimension ref="A1:F40"/>
  <sheetViews>
    <sheetView workbookViewId="0"/>
  </sheetViews>
  <sheetFormatPr defaultColWidth="9.140625" defaultRowHeight="15.75" x14ac:dyDescent="0.25"/>
  <cols>
    <col min="1" max="1" width="23.85546875" style="10" customWidth="1"/>
    <col min="2" max="8" width="15.7109375" style="10" customWidth="1"/>
    <col min="9" max="16384" width="9.140625" style="10"/>
  </cols>
  <sheetData>
    <row r="1" spans="1:6" ht="23.25" x14ac:dyDescent="0.35">
      <c r="A1" s="5" t="s">
        <v>327</v>
      </c>
    </row>
    <row r="4" spans="1:6" ht="18.75" x14ac:dyDescent="0.3">
      <c r="A4" s="19" t="s">
        <v>328</v>
      </c>
      <c r="B4" s="10" t="s">
        <v>329</v>
      </c>
    </row>
    <row r="5" spans="1:6" x14ac:dyDescent="0.25">
      <c r="A5" s="24"/>
      <c r="B5" s="10" t="s">
        <v>245</v>
      </c>
      <c r="C5" s="10" t="s">
        <v>330</v>
      </c>
    </row>
    <row r="6" spans="1:6" x14ac:dyDescent="0.25">
      <c r="A6" s="24"/>
      <c r="B6" s="10" t="s">
        <v>331</v>
      </c>
    </row>
    <row r="7" spans="1:6" x14ac:dyDescent="0.25">
      <c r="A7" s="24"/>
    </row>
    <row r="8" spans="1:6" ht="16.5" thickBot="1" x14ac:dyDescent="0.3">
      <c r="C8" s="35" t="s">
        <v>332</v>
      </c>
      <c r="D8" s="37" t="s">
        <v>328</v>
      </c>
      <c r="E8" s="41"/>
      <c r="F8" s="12"/>
    </row>
    <row r="9" spans="1:6" x14ac:dyDescent="0.25">
      <c r="C9" s="14">
        <v>-100000</v>
      </c>
      <c r="D9" s="14"/>
      <c r="E9" s="39"/>
      <c r="F9" s="40"/>
    </row>
    <row r="10" spans="1:6" x14ac:dyDescent="0.25">
      <c r="B10" s="12" t="s">
        <v>333</v>
      </c>
      <c r="C10" s="14">
        <v>20000</v>
      </c>
      <c r="D10" s="28">
        <f>IRR(C9:C10)</f>
        <v>-0.8</v>
      </c>
      <c r="E10" s="39"/>
      <c r="F10" s="12"/>
    </row>
    <row r="11" spans="1:6" x14ac:dyDescent="0.25">
      <c r="B11" s="12" t="s">
        <v>334</v>
      </c>
      <c r="C11" s="14">
        <v>24000</v>
      </c>
      <c r="D11" s="28">
        <f>IRR(C9:C11)</f>
        <v>-0.3999999999999706</v>
      </c>
      <c r="E11" s="39"/>
      <c r="F11" s="12"/>
    </row>
    <row r="12" spans="1:6" x14ac:dyDescent="0.25">
      <c r="B12" s="12" t="s">
        <v>335</v>
      </c>
      <c r="C12" s="14">
        <v>28800</v>
      </c>
      <c r="D12" s="28">
        <f>IRR(C9:C12)</f>
        <v>-0.13618951095869036</v>
      </c>
      <c r="E12" s="39"/>
      <c r="F12" s="12"/>
    </row>
    <row r="13" spans="1:6" x14ac:dyDescent="0.25">
      <c r="B13" s="12" t="s">
        <v>336</v>
      </c>
      <c r="C13" s="14">
        <v>34560</v>
      </c>
      <c r="D13" s="28">
        <f>IRR(C9:C13)</f>
        <v>2.655394237935238E-2</v>
      </c>
      <c r="E13" s="39"/>
      <c r="F13" s="12"/>
    </row>
    <row r="14" spans="1:6" x14ac:dyDescent="0.25">
      <c r="B14" s="12" t="s">
        <v>337</v>
      </c>
      <c r="C14" s="14">
        <v>41470</v>
      </c>
      <c r="D14" s="28">
        <f>IRR(C9:C14)</f>
        <v>0.1305757563755694</v>
      </c>
      <c r="E14" s="14"/>
    </row>
    <row r="15" spans="1:6" x14ac:dyDescent="0.25">
      <c r="D15" s="39"/>
      <c r="E15" s="14"/>
    </row>
    <row r="16" spans="1:6" x14ac:dyDescent="0.25">
      <c r="D16" s="39"/>
      <c r="E16" s="14"/>
    </row>
    <row r="17" spans="1:6" ht="18.75" x14ac:dyDescent="0.3">
      <c r="A17" s="19" t="s">
        <v>338</v>
      </c>
      <c r="B17" s="10" t="s">
        <v>339</v>
      </c>
    </row>
    <row r="18" spans="1:6" x14ac:dyDescent="0.25">
      <c r="B18" s="10" t="s">
        <v>245</v>
      </c>
      <c r="C18" s="10" t="s">
        <v>340</v>
      </c>
    </row>
    <row r="19" spans="1:6" x14ac:dyDescent="0.25">
      <c r="B19" s="10" t="s">
        <v>341</v>
      </c>
    </row>
    <row r="21" spans="1:6" ht="16.5" thickBot="1" x14ac:dyDescent="0.3">
      <c r="C21" s="35" t="s">
        <v>332</v>
      </c>
      <c r="D21" s="37" t="s">
        <v>338</v>
      </c>
      <c r="E21" s="45" t="s">
        <v>342</v>
      </c>
      <c r="F21" s="35" t="s">
        <v>343</v>
      </c>
    </row>
    <row r="22" spans="1:6" x14ac:dyDescent="0.25">
      <c r="C22" s="14">
        <v>-100000</v>
      </c>
      <c r="D22" s="14"/>
      <c r="E22" s="26">
        <v>5.5E-2</v>
      </c>
      <c r="F22" s="46">
        <v>0.05</v>
      </c>
    </row>
    <row r="23" spans="1:6" x14ac:dyDescent="0.25">
      <c r="B23" s="12" t="s">
        <v>333</v>
      </c>
      <c r="C23" s="14">
        <v>20000</v>
      </c>
      <c r="D23" s="28">
        <f>MIRR(C22:C23,$E$22,$F$22)</f>
        <v>-0.8</v>
      </c>
      <c r="E23" s="39"/>
      <c r="F23" s="12"/>
    </row>
    <row r="24" spans="1:6" x14ac:dyDescent="0.25">
      <c r="B24" s="12" t="s">
        <v>334</v>
      </c>
      <c r="C24" s="14">
        <v>24000</v>
      </c>
      <c r="D24" s="28">
        <f>MIRR(C22:C24,$E$22,$F$22)</f>
        <v>-0.32917960675006308</v>
      </c>
      <c r="E24" s="39"/>
      <c r="F24" s="12"/>
    </row>
    <row r="25" spans="1:6" x14ac:dyDescent="0.25">
      <c r="B25" s="12" t="s">
        <v>335</v>
      </c>
      <c r="C25" s="14">
        <v>28800</v>
      </c>
      <c r="D25" s="28">
        <f>MIRR(C22:C25,$E$22,$F$22)</f>
        <v>-8.7219389485570953E-2</v>
      </c>
      <c r="E25" s="39"/>
      <c r="F25" s="12"/>
    </row>
    <row r="26" spans="1:6" x14ac:dyDescent="0.25">
      <c r="B26" s="12" t="s">
        <v>336</v>
      </c>
      <c r="C26" s="14">
        <v>34560</v>
      </c>
      <c r="D26" s="28">
        <f>MIRR(C22:C26,$E$22,$F$22)</f>
        <v>3.423294724178283E-2</v>
      </c>
      <c r="E26" s="39"/>
      <c r="F26" s="12"/>
    </row>
    <row r="27" spans="1:6" x14ac:dyDescent="0.25">
      <c r="B27" s="12" t="s">
        <v>337</v>
      </c>
      <c r="C27" s="14">
        <v>41470</v>
      </c>
      <c r="D27" s="28">
        <f>MIRR(C22:C27,$E$22,$F$22)</f>
        <v>0.1007531854682453</v>
      </c>
      <c r="E27" s="14"/>
    </row>
    <row r="28" spans="1:6" x14ac:dyDescent="0.25">
      <c r="D28" s="39"/>
      <c r="E28" s="14"/>
    </row>
    <row r="30" spans="1:6" ht="18.75" x14ac:dyDescent="0.3">
      <c r="A30" s="19" t="s">
        <v>344</v>
      </c>
      <c r="B30" s="10" t="s">
        <v>345</v>
      </c>
    </row>
    <row r="31" spans="1:6" x14ac:dyDescent="0.25">
      <c r="B31" s="10" t="s">
        <v>245</v>
      </c>
      <c r="C31" s="10" t="s">
        <v>346</v>
      </c>
    </row>
    <row r="32" spans="1:6" x14ac:dyDescent="0.25">
      <c r="B32" s="10" t="s">
        <v>347</v>
      </c>
    </row>
    <row r="34" spans="2:6" ht="16.5" thickBot="1" x14ac:dyDescent="0.3">
      <c r="C34" s="35" t="s">
        <v>332</v>
      </c>
      <c r="D34" s="37" t="s">
        <v>338</v>
      </c>
      <c r="E34" s="45" t="s">
        <v>342</v>
      </c>
      <c r="F34" s="12"/>
    </row>
    <row r="35" spans="2:6" x14ac:dyDescent="0.25">
      <c r="C35" s="14">
        <v>-5000</v>
      </c>
      <c r="D35" s="14"/>
      <c r="E35" s="26">
        <v>0.02</v>
      </c>
      <c r="F35" s="46"/>
    </row>
    <row r="36" spans="2:6" x14ac:dyDescent="0.25">
      <c r="B36" s="12" t="s">
        <v>333</v>
      </c>
      <c r="C36" s="14">
        <v>800</v>
      </c>
      <c r="D36" s="47">
        <f>NPV($E$35,C35:C36)</f>
        <v>-4133.0257593233373</v>
      </c>
      <c r="E36" s="39"/>
      <c r="F36" s="12"/>
    </row>
    <row r="37" spans="2:6" x14ac:dyDescent="0.25">
      <c r="B37" s="12" t="s">
        <v>334</v>
      </c>
      <c r="C37" s="14">
        <v>950</v>
      </c>
      <c r="D37" s="47">
        <f>NPV($E$35,C35:C37)</f>
        <v>-3237.8195415036448</v>
      </c>
      <c r="E37" s="39"/>
      <c r="F37" s="12"/>
    </row>
    <row r="38" spans="2:6" x14ac:dyDescent="0.25">
      <c r="B38" s="12" t="s">
        <v>335</v>
      </c>
      <c r="C38" s="14">
        <v>1080</v>
      </c>
      <c r="D38" s="47">
        <f>NPV($E$35,C35:C38)</f>
        <v>-2240.0664813950098</v>
      </c>
      <c r="E38" s="39"/>
      <c r="F38" s="12"/>
    </row>
    <row r="39" spans="2:6" x14ac:dyDescent="0.25">
      <c r="B39" s="12" t="s">
        <v>336</v>
      </c>
      <c r="C39" s="14">
        <v>1220</v>
      </c>
      <c r="D39" s="47">
        <f>NPV($E$35,C35:C39)</f>
        <v>-1135.0748934025123</v>
      </c>
      <c r="E39" s="39"/>
      <c r="F39" s="12"/>
    </row>
    <row r="40" spans="2:6" x14ac:dyDescent="0.25">
      <c r="B40" s="12" t="s">
        <v>337</v>
      </c>
      <c r="C40" s="14">
        <v>1500</v>
      </c>
      <c r="D40" s="47">
        <f>NPV($E$35,C35:C40)</f>
        <v>196.88217987677578</v>
      </c>
      <c r="E40" s="14"/>
    </row>
  </sheetData>
  <pageMargins left="0.7" right="0.7" top="0.75" bottom="0.75" header="0.3" footer="0.3"/>
  <ignoredErrors>
    <ignoredError sqref="D10:D13 D36:D39"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B2AC-FF57-45ED-9B57-0FB3FA3FC9B8}">
  <sheetPr>
    <tabColor theme="6" tint="0.39997558519241921"/>
  </sheetPr>
  <dimension ref="A1:F27"/>
  <sheetViews>
    <sheetView workbookViewId="0"/>
  </sheetViews>
  <sheetFormatPr defaultColWidth="9.140625" defaultRowHeight="15.75" x14ac:dyDescent="0.25"/>
  <cols>
    <col min="1" max="1" width="23.85546875" style="10" customWidth="1"/>
    <col min="2" max="8" width="15.7109375" style="10" customWidth="1"/>
    <col min="9" max="16384" width="9.140625" style="10"/>
  </cols>
  <sheetData>
    <row r="1" spans="1:6" ht="23.25" x14ac:dyDescent="0.35">
      <c r="A1" s="5" t="s">
        <v>348</v>
      </c>
    </row>
    <row r="4" spans="1:6" ht="18.75" x14ac:dyDescent="0.3">
      <c r="A4" s="19" t="s">
        <v>349</v>
      </c>
      <c r="B4" s="10" t="s">
        <v>350</v>
      </c>
    </row>
    <row r="5" spans="1:6" x14ac:dyDescent="0.25">
      <c r="A5" s="24"/>
      <c r="B5" s="10" t="s">
        <v>245</v>
      </c>
      <c r="C5" s="10" t="s">
        <v>351</v>
      </c>
    </row>
    <row r="6" spans="1:6" x14ac:dyDescent="0.25">
      <c r="A6" s="24"/>
      <c r="B6" s="10" t="s">
        <v>352</v>
      </c>
    </row>
    <row r="7" spans="1:6" x14ac:dyDescent="0.25">
      <c r="A7" s="24"/>
    </row>
    <row r="8" spans="1:6" ht="16.5" thickBot="1" x14ac:dyDescent="0.3">
      <c r="C8" s="35" t="s">
        <v>332</v>
      </c>
      <c r="D8" s="37" t="s">
        <v>353</v>
      </c>
      <c r="E8" s="37" t="s">
        <v>349</v>
      </c>
      <c r="F8" s="12"/>
    </row>
    <row r="9" spans="1:6" x14ac:dyDescent="0.25">
      <c r="C9" s="14">
        <v>-100000</v>
      </c>
      <c r="D9" s="48">
        <v>43101</v>
      </c>
      <c r="E9" s="28"/>
      <c r="F9" s="40"/>
    </row>
    <row r="10" spans="1:6" x14ac:dyDescent="0.25">
      <c r="B10" s="12" t="s">
        <v>354</v>
      </c>
      <c r="C10" s="14">
        <v>20000</v>
      </c>
      <c r="D10" s="48">
        <v>43160</v>
      </c>
      <c r="E10" s="28">
        <f>XIRR(C9:C10,D9:D10)</f>
        <v>-0.99995259069837639</v>
      </c>
      <c r="F10" s="12"/>
    </row>
    <row r="11" spans="1:6" x14ac:dyDescent="0.25">
      <c r="B11" s="12" t="s">
        <v>355</v>
      </c>
      <c r="C11" s="14">
        <v>40000</v>
      </c>
      <c r="D11" s="48">
        <v>43374</v>
      </c>
      <c r="E11" s="28">
        <f>XIRR(C9:C11,D9:D11)</f>
        <v>-0.58312365189194693</v>
      </c>
      <c r="F11" s="12"/>
    </row>
    <row r="12" spans="1:6" x14ac:dyDescent="0.25">
      <c r="B12" s="12" t="s">
        <v>356</v>
      </c>
      <c r="C12" s="14">
        <v>25000</v>
      </c>
      <c r="D12" s="48">
        <v>43497</v>
      </c>
      <c r="E12" s="28">
        <f>XIRR(C9:C12,D9:D12)</f>
        <v>-0.20165818259119994</v>
      </c>
      <c r="F12" s="12"/>
    </row>
    <row r="13" spans="1:6" x14ac:dyDescent="0.25">
      <c r="B13" s="12" t="s">
        <v>357</v>
      </c>
      <c r="C13" s="14">
        <v>8000</v>
      </c>
      <c r="D13" s="48">
        <v>43525</v>
      </c>
      <c r="E13" s="28">
        <f>XIRR(C9:C13,D9:D13)</f>
        <v>-9.1792365908622761E-2</v>
      </c>
      <c r="F13" s="12"/>
    </row>
    <row r="14" spans="1:6" x14ac:dyDescent="0.25">
      <c r="B14" s="12" t="s">
        <v>358</v>
      </c>
      <c r="C14" s="14">
        <v>15000</v>
      </c>
      <c r="D14" s="48">
        <v>43617</v>
      </c>
      <c r="E14" s="28">
        <f>XIRR(C9:C14,D9:D14)</f>
        <v>9.6760624647140497E-2</v>
      </c>
    </row>
    <row r="15" spans="1:6" x14ac:dyDescent="0.25">
      <c r="D15" s="39"/>
      <c r="E15" s="14"/>
    </row>
    <row r="16" spans="1:6" x14ac:dyDescent="0.25">
      <c r="D16" s="39"/>
      <c r="E16" s="14"/>
    </row>
    <row r="17" spans="1:6" ht="18.75" x14ac:dyDescent="0.3">
      <c r="A17" s="19" t="s">
        <v>359</v>
      </c>
      <c r="B17" s="10" t="s">
        <v>360</v>
      </c>
    </row>
    <row r="18" spans="1:6" x14ac:dyDescent="0.25">
      <c r="B18" s="10" t="s">
        <v>245</v>
      </c>
      <c r="C18" s="10" t="s">
        <v>361</v>
      </c>
    </row>
    <row r="19" spans="1:6" x14ac:dyDescent="0.25">
      <c r="B19" s="10" t="s">
        <v>362</v>
      </c>
    </row>
    <row r="21" spans="1:6" ht="16.5" thickBot="1" x14ac:dyDescent="0.3">
      <c r="C21" s="35" t="s">
        <v>332</v>
      </c>
      <c r="D21" s="37" t="s">
        <v>353</v>
      </c>
      <c r="E21" s="37" t="s">
        <v>359</v>
      </c>
      <c r="F21" s="35" t="s">
        <v>228</v>
      </c>
    </row>
    <row r="22" spans="1:6" x14ac:dyDescent="0.25">
      <c r="C22" s="14">
        <v>-10000</v>
      </c>
      <c r="D22" s="48">
        <v>43101</v>
      </c>
      <c r="E22" s="28"/>
      <c r="F22" s="26">
        <v>0.05</v>
      </c>
    </row>
    <row r="23" spans="1:6" x14ac:dyDescent="0.25">
      <c r="B23" s="12" t="s">
        <v>354</v>
      </c>
      <c r="C23" s="14">
        <v>2000</v>
      </c>
      <c r="D23" s="48">
        <v>43160</v>
      </c>
      <c r="E23" s="39">
        <f>XNPV($F$22,C22:C23,D22:D23)</f>
        <v>-8015.711222823451</v>
      </c>
    </row>
    <row r="24" spans="1:6" x14ac:dyDescent="0.25">
      <c r="B24" s="12" t="s">
        <v>355</v>
      </c>
      <c r="C24" s="14">
        <v>2400</v>
      </c>
      <c r="D24" s="48">
        <v>43374</v>
      </c>
      <c r="E24" s="39">
        <f>XNPV($F$22,C22:C24,D22:D24)</f>
        <v>-5701.7141402727029</v>
      </c>
    </row>
    <row r="25" spans="1:6" x14ac:dyDescent="0.25">
      <c r="B25" s="12" t="s">
        <v>356</v>
      </c>
      <c r="C25" s="14">
        <v>2900</v>
      </c>
      <c r="D25" s="48">
        <v>43497</v>
      </c>
      <c r="E25" s="39">
        <f>XNPV($F$22,C22:C25,D22:D25)</f>
        <v>-2951.2305405551101</v>
      </c>
    </row>
    <row r="26" spans="1:6" x14ac:dyDescent="0.25">
      <c r="B26" s="12" t="s">
        <v>357</v>
      </c>
      <c r="C26" s="14">
        <v>3500</v>
      </c>
      <c r="D26" s="48">
        <v>43525</v>
      </c>
      <c r="E26" s="39">
        <f>XNPV($F$22,C22:C26,D22:D26)</f>
        <v>355.91742140580482</v>
      </c>
    </row>
    <row r="27" spans="1:6" x14ac:dyDescent="0.25">
      <c r="B27" s="12" t="s">
        <v>358</v>
      </c>
      <c r="C27" s="14">
        <v>4100</v>
      </c>
      <c r="D27" s="48">
        <v>43617</v>
      </c>
      <c r="E27" s="39">
        <f>XNPV($F$22,C22:C27,D22:D27)</f>
        <v>4182.6540525636046</v>
      </c>
    </row>
  </sheetData>
  <pageMargins left="0.7" right="0.7" top="0.75" bottom="0.75" header="0.3" footer="0.3"/>
  <ignoredErrors>
    <ignoredError sqref="E10:E13 E23:E26"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D1C4-C192-46B6-A8C1-A47B074E1595}">
  <sheetPr>
    <tabColor theme="6" tint="0.39997558519241921"/>
  </sheetPr>
  <dimension ref="A1:G87"/>
  <sheetViews>
    <sheetView workbookViewId="0"/>
  </sheetViews>
  <sheetFormatPr defaultColWidth="9.140625" defaultRowHeight="15.75" x14ac:dyDescent="0.25"/>
  <cols>
    <col min="1" max="1" width="23.85546875" style="24" customWidth="1"/>
    <col min="2" max="6" width="15.7109375" style="10" customWidth="1"/>
    <col min="7" max="7" width="12.5703125" style="10" customWidth="1"/>
    <col min="8" max="16384" width="9.140625" style="10"/>
  </cols>
  <sheetData>
    <row r="1" spans="1:6" ht="24" customHeight="1" x14ac:dyDescent="0.35">
      <c r="A1" s="5" t="s">
        <v>363</v>
      </c>
    </row>
    <row r="4" spans="1:6" ht="18.75" x14ac:dyDescent="0.3">
      <c r="A4" s="19" t="s">
        <v>364</v>
      </c>
      <c r="B4" s="2" t="s">
        <v>365</v>
      </c>
    </row>
    <row r="5" spans="1:6" ht="18.75" x14ac:dyDescent="0.3">
      <c r="A5" s="19"/>
      <c r="B5" s="49" t="s">
        <v>366</v>
      </c>
    </row>
    <row r="6" spans="1:6" ht="18.75" x14ac:dyDescent="0.3">
      <c r="A6" s="19"/>
      <c r="B6" s="49"/>
    </row>
    <row r="7" spans="1:6" ht="19.5" thickBot="1" x14ac:dyDescent="0.35">
      <c r="A7" s="19"/>
      <c r="E7" s="35" t="s">
        <v>221</v>
      </c>
      <c r="F7" s="35" t="s">
        <v>222</v>
      </c>
    </row>
    <row r="8" spans="1:6" ht="18.75" x14ac:dyDescent="0.3">
      <c r="A8" s="19"/>
      <c r="B8" s="49" t="s">
        <v>224</v>
      </c>
      <c r="C8" s="14">
        <v>10000</v>
      </c>
      <c r="E8" s="12">
        <v>0</v>
      </c>
      <c r="F8" s="39">
        <f t="shared" ref="F8:F13" si="0">AMORDEGRC($C$8,$C$9,$C$10,$C$11,E8,$C$12,$C$13)</f>
        <v>2000</v>
      </c>
    </row>
    <row r="9" spans="1:6" ht="18.75" x14ac:dyDescent="0.3">
      <c r="A9" s="19"/>
      <c r="B9" s="49" t="s">
        <v>225</v>
      </c>
      <c r="C9" s="11">
        <v>43646</v>
      </c>
      <c r="E9" s="12">
        <v>1</v>
      </c>
      <c r="F9" s="39">
        <f t="shared" si="0"/>
        <v>3200</v>
      </c>
    </row>
    <row r="10" spans="1:6" ht="18.75" x14ac:dyDescent="0.3">
      <c r="A10" s="19"/>
      <c r="B10" s="49" t="s">
        <v>226</v>
      </c>
      <c r="C10" s="11">
        <v>43830</v>
      </c>
      <c r="E10" s="12">
        <v>2</v>
      </c>
      <c r="F10" s="39">
        <f t="shared" si="0"/>
        <v>1920</v>
      </c>
    </row>
    <row r="11" spans="1:6" ht="18.75" x14ac:dyDescent="0.3">
      <c r="A11" s="19"/>
      <c r="B11" s="49" t="s">
        <v>227</v>
      </c>
      <c r="C11" s="14">
        <v>1000</v>
      </c>
      <c r="E11" s="12">
        <v>3</v>
      </c>
      <c r="F11" s="39">
        <f t="shared" si="0"/>
        <v>1440</v>
      </c>
    </row>
    <row r="12" spans="1:6" ht="18.75" x14ac:dyDescent="0.3">
      <c r="A12" s="19"/>
      <c r="B12" s="49" t="s">
        <v>228</v>
      </c>
      <c r="C12" s="50">
        <v>0.2</v>
      </c>
      <c r="E12" s="12">
        <v>4</v>
      </c>
      <c r="F12" s="39">
        <f t="shared" si="0"/>
        <v>1440</v>
      </c>
    </row>
    <row r="13" spans="1:6" ht="18.75" x14ac:dyDescent="0.3">
      <c r="A13" s="19"/>
      <c r="B13" s="49" t="s">
        <v>229</v>
      </c>
      <c r="C13" s="10">
        <v>4</v>
      </c>
      <c r="E13" s="12">
        <v>5</v>
      </c>
      <c r="F13" s="39">
        <f t="shared" si="0"/>
        <v>0</v>
      </c>
    </row>
    <row r="14" spans="1:6" ht="18.75" x14ac:dyDescent="0.3">
      <c r="A14" s="19"/>
      <c r="B14" s="49"/>
    </row>
    <row r="16" spans="1:6" ht="18.75" x14ac:dyDescent="0.3">
      <c r="A16" s="19" t="s">
        <v>218</v>
      </c>
      <c r="B16" s="2" t="s">
        <v>219</v>
      </c>
      <c r="C16" s="30"/>
    </row>
    <row r="17" spans="1:7" x14ac:dyDescent="0.25">
      <c r="B17" s="10" t="s">
        <v>220</v>
      </c>
    </row>
    <row r="20" spans="1:7" ht="16.5" thickBot="1" x14ac:dyDescent="0.3">
      <c r="E20" s="35" t="s">
        <v>221</v>
      </c>
      <c r="F20" s="35" t="s">
        <v>222</v>
      </c>
      <c r="G20" s="35" t="s">
        <v>223</v>
      </c>
    </row>
    <row r="21" spans="1:7" x14ac:dyDescent="0.25">
      <c r="B21" s="49" t="s">
        <v>224</v>
      </c>
      <c r="C21" s="14">
        <v>10000</v>
      </c>
      <c r="F21" s="24"/>
      <c r="G21" s="14">
        <v>10000</v>
      </c>
    </row>
    <row r="22" spans="1:7" x14ac:dyDescent="0.25">
      <c r="B22" s="49" t="s">
        <v>225</v>
      </c>
      <c r="C22" s="11">
        <v>43646</v>
      </c>
      <c r="E22" s="12">
        <v>0</v>
      </c>
      <c r="F22" s="39">
        <f>AMORLINC($C$21,$C$22,$C$23,$C$24,E22,$C$25,$C$26)</f>
        <v>1000</v>
      </c>
      <c r="G22" s="14">
        <f>(G21-F22)</f>
        <v>9000</v>
      </c>
    </row>
    <row r="23" spans="1:7" x14ac:dyDescent="0.25">
      <c r="B23" s="49" t="s">
        <v>226</v>
      </c>
      <c r="C23" s="11">
        <v>43830</v>
      </c>
      <c r="E23" s="12">
        <v>1</v>
      </c>
      <c r="F23" s="39">
        <f t="shared" ref="F23:F27" si="1">AMORLINC($C$21,$C$22,$C$23,$C$24,E23,$C$25,$C$26)</f>
        <v>2000</v>
      </c>
      <c r="G23" s="14">
        <f t="shared" ref="G23:G27" si="2">(G22-F23)</f>
        <v>7000</v>
      </c>
    </row>
    <row r="24" spans="1:7" x14ac:dyDescent="0.25">
      <c r="B24" s="49" t="s">
        <v>227</v>
      </c>
      <c r="C24" s="14">
        <v>1000</v>
      </c>
      <c r="E24" s="12">
        <v>2</v>
      </c>
      <c r="F24" s="39">
        <f t="shared" si="1"/>
        <v>2000</v>
      </c>
      <c r="G24" s="14">
        <f t="shared" si="2"/>
        <v>5000</v>
      </c>
    </row>
    <row r="25" spans="1:7" x14ac:dyDescent="0.25">
      <c r="B25" s="49" t="s">
        <v>228</v>
      </c>
      <c r="C25" s="50">
        <v>0.2</v>
      </c>
      <c r="E25" s="12">
        <v>3</v>
      </c>
      <c r="F25" s="39">
        <f t="shared" si="1"/>
        <v>2000</v>
      </c>
      <c r="G25" s="14">
        <f t="shared" si="2"/>
        <v>3000</v>
      </c>
    </row>
    <row r="26" spans="1:7" x14ac:dyDescent="0.25">
      <c r="B26" s="49" t="s">
        <v>229</v>
      </c>
      <c r="C26" s="10">
        <v>4</v>
      </c>
      <c r="E26" s="12">
        <v>4</v>
      </c>
      <c r="F26" s="39">
        <f t="shared" si="1"/>
        <v>2000</v>
      </c>
      <c r="G26" s="14">
        <f t="shared" si="2"/>
        <v>1000</v>
      </c>
    </row>
    <row r="27" spans="1:7" x14ac:dyDescent="0.25">
      <c r="E27" s="12">
        <v>5</v>
      </c>
      <c r="F27" s="39">
        <f t="shared" si="1"/>
        <v>0</v>
      </c>
      <c r="G27" s="14">
        <f t="shared" si="2"/>
        <v>1000</v>
      </c>
    </row>
    <row r="30" spans="1:7" x14ac:dyDescent="0.25">
      <c r="A30" s="24" t="s">
        <v>367</v>
      </c>
      <c r="B30" s="2" t="s">
        <v>368</v>
      </c>
    </row>
    <row r="31" spans="1:7" x14ac:dyDescent="0.25">
      <c r="B31" s="2" t="s">
        <v>369</v>
      </c>
    </row>
    <row r="32" spans="1:7" x14ac:dyDescent="0.25">
      <c r="B32" s="2"/>
    </row>
    <row r="33" spans="1:7" ht="16.5" thickBot="1" x14ac:dyDescent="0.3">
      <c r="B33" s="2" t="s">
        <v>224</v>
      </c>
      <c r="C33" s="14">
        <v>10000</v>
      </c>
      <c r="E33" s="35" t="s">
        <v>370</v>
      </c>
      <c r="F33" s="35" t="s">
        <v>222</v>
      </c>
      <c r="G33" s="35" t="s">
        <v>223</v>
      </c>
    </row>
    <row r="34" spans="1:7" x14ac:dyDescent="0.25">
      <c r="B34" s="2" t="s">
        <v>371</v>
      </c>
      <c r="C34" s="14">
        <v>2000</v>
      </c>
      <c r="E34" s="12">
        <v>0</v>
      </c>
      <c r="G34" s="14">
        <f>+C33</f>
        <v>10000</v>
      </c>
    </row>
    <row r="35" spans="1:7" x14ac:dyDescent="0.25">
      <c r="B35" s="2" t="s">
        <v>372</v>
      </c>
      <c r="C35" s="10">
        <v>5</v>
      </c>
      <c r="E35" s="12">
        <v>1</v>
      </c>
      <c r="F35" s="47">
        <f>DB($C$33,$C$34,$C$35,E35)</f>
        <v>2750</v>
      </c>
      <c r="G35" s="14">
        <f>(G34-F35)</f>
        <v>7250</v>
      </c>
    </row>
    <row r="36" spans="1:7" x14ac:dyDescent="0.25">
      <c r="B36" s="2"/>
      <c r="E36" s="12">
        <v>2</v>
      </c>
      <c r="F36" s="47">
        <f t="shared" ref="F36:F39" si="3">DB($C$33,$C$34,$C$35,E36)</f>
        <v>1993.7500000000002</v>
      </c>
      <c r="G36" s="14">
        <f t="shared" ref="G36:G39" si="4">(G35-F36)</f>
        <v>5256.25</v>
      </c>
    </row>
    <row r="37" spans="1:7" x14ac:dyDescent="0.25">
      <c r="B37" s="2"/>
      <c r="E37" s="12">
        <v>3</v>
      </c>
      <c r="F37" s="47">
        <f t="shared" si="3"/>
        <v>1445.4687500000002</v>
      </c>
      <c r="G37" s="14">
        <f t="shared" si="4"/>
        <v>3810.78125</v>
      </c>
    </row>
    <row r="38" spans="1:7" x14ac:dyDescent="0.25">
      <c r="E38" s="12">
        <v>4</v>
      </c>
      <c r="F38" s="47">
        <f t="shared" si="3"/>
        <v>1047.96484375</v>
      </c>
      <c r="G38" s="14">
        <f t="shared" si="4"/>
        <v>2762.81640625</v>
      </c>
    </row>
    <row r="39" spans="1:7" x14ac:dyDescent="0.25">
      <c r="E39" s="12">
        <v>5</v>
      </c>
      <c r="F39" s="47">
        <f t="shared" si="3"/>
        <v>759.77451171875009</v>
      </c>
      <c r="G39" s="14">
        <f t="shared" si="4"/>
        <v>2003.0418945312499</v>
      </c>
    </row>
    <row r="40" spans="1:7" x14ac:dyDescent="0.25">
      <c r="E40" s="12"/>
      <c r="F40" s="44"/>
      <c r="G40" s="14"/>
    </row>
    <row r="42" spans="1:7" x14ac:dyDescent="0.25">
      <c r="A42" s="24" t="s">
        <v>373</v>
      </c>
      <c r="B42" s="2" t="s">
        <v>374</v>
      </c>
    </row>
    <row r="43" spans="1:7" x14ac:dyDescent="0.25">
      <c r="B43" s="2" t="s">
        <v>375</v>
      </c>
    </row>
    <row r="44" spans="1:7" x14ac:dyDescent="0.25">
      <c r="B44" s="2"/>
    </row>
    <row r="45" spans="1:7" ht="16.5" thickBot="1" x14ac:dyDescent="0.3">
      <c r="B45" s="2" t="s">
        <v>224</v>
      </c>
      <c r="C45" s="14">
        <v>10000</v>
      </c>
      <c r="E45" s="35" t="s">
        <v>370</v>
      </c>
      <c r="F45" s="35" t="s">
        <v>222</v>
      </c>
      <c r="G45" s="35" t="s">
        <v>223</v>
      </c>
    </row>
    <row r="46" spans="1:7" x14ac:dyDescent="0.25">
      <c r="B46" s="2" t="s">
        <v>371</v>
      </c>
      <c r="C46" s="14">
        <v>2000</v>
      </c>
      <c r="E46" s="12">
        <v>0</v>
      </c>
      <c r="G46" s="14">
        <f>+C45</f>
        <v>10000</v>
      </c>
    </row>
    <row r="47" spans="1:7" x14ac:dyDescent="0.25">
      <c r="B47" s="2" t="s">
        <v>372</v>
      </c>
      <c r="C47" s="10">
        <v>5</v>
      </c>
      <c r="E47" s="12">
        <v>1</v>
      </c>
      <c r="F47" s="47">
        <f>DDB($C$45,$C$46,$C$47,E47)</f>
        <v>4000</v>
      </c>
      <c r="G47" s="14">
        <f>(G46-F47)</f>
        <v>6000</v>
      </c>
    </row>
    <row r="48" spans="1:7" x14ac:dyDescent="0.25">
      <c r="B48" s="2"/>
      <c r="E48" s="12">
        <v>2</v>
      </c>
      <c r="F48" s="47">
        <f t="shared" ref="F48:F51" si="5">DDB($C$45,$C$46,$C$47,E48)</f>
        <v>2400</v>
      </c>
      <c r="G48" s="14">
        <f t="shared" ref="G48:G51" si="6">(G47-F48)</f>
        <v>3600</v>
      </c>
    </row>
    <row r="49" spans="1:7" x14ac:dyDescent="0.25">
      <c r="B49" s="2"/>
      <c r="E49" s="12">
        <v>3</v>
      </c>
      <c r="F49" s="47">
        <f t="shared" si="5"/>
        <v>1440</v>
      </c>
      <c r="G49" s="14">
        <f t="shared" si="6"/>
        <v>2160</v>
      </c>
    </row>
    <row r="50" spans="1:7" x14ac:dyDescent="0.25">
      <c r="E50" s="12">
        <v>4</v>
      </c>
      <c r="F50" s="47">
        <f t="shared" si="5"/>
        <v>160</v>
      </c>
      <c r="G50" s="14">
        <f t="shared" si="6"/>
        <v>2000</v>
      </c>
    </row>
    <row r="51" spans="1:7" x14ac:dyDescent="0.25">
      <c r="E51" s="12">
        <v>5</v>
      </c>
      <c r="F51" s="47">
        <f t="shared" si="5"/>
        <v>0</v>
      </c>
      <c r="G51" s="14">
        <f t="shared" si="6"/>
        <v>2000</v>
      </c>
    </row>
    <row r="54" spans="1:7" x14ac:dyDescent="0.25">
      <c r="A54" s="24" t="s">
        <v>376</v>
      </c>
      <c r="B54" s="2" t="s">
        <v>377</v>
      </c>
    </row>
    <row r="55" spans="1:7" x14ac:dyDescent="0.25">
      <c r="B55" s="2" t="s">
        <v>378</v>
      </c>
    </row>
    <row r="56" spans="1:7" x14ac:dyDescent="0.25">
      <c r="B56" s="2"/>
    </row>
    <row r="57" spans="1:7" ht="16.5" thickBot="1" x14ac:dyDescent="0.3">
      <c r="B57" s="2" t="s">
        <v>224</v>
      </c>
      <c r="C57" s="14">
        <v>10000</v>
      </c>
      <c r="E57" s="35" t="s">
        <v>370</v>
      </c>
      <c r="F57" s="35" t="s">
        <v>222</v>
      </c>
      <c r="G57" s="35" t="s">
        <v>223</v>
      </c>
    </row>
    <row r="58" spans="1:7" x14ac:dyDescent="0.25">
      <c r="B58" s="2" t="s">
        <v>371</v>
      </c>
      <c r="C58" s="14">
        <v>2000</v>
      </c>
      <c r="E58" s="12">
        <v>0</v>
      </c>
      <c r="G58" s="14">
        <f>+C57</f>
        <v>10000</v>
      </c>
    </row>
    <row r="59" spans="1:7" x14ac:dyDescent="0.25">
      <c r="B59" s="2" t="s">
        <v>372</v>
      </c>
      <c r="C59" s="10">
        <v>5</v>
      </c>
      <c r="E59" s="12">
        <v>1</v>
      </c>
      <c r="F59" s="47">
        <f>SLN($C$57,$C$58,$C$59)</f>
        <v>1600</v>
      </c>
      <c r="G59" s="14">
        <f>(G58-F59)</f>
        <v>8400</v>
      </c>
    </row>
    <row r="60" spans="1:7" x14ac:dyDescent="0.25">
      <c r="B60" s="2"/>
      <c r="E60" s="12">
        <v>2</v>
      </c>
      <c r="F60" s="47">
        <f t="shared" ref="F60:F63" si="7">SLN($C$57,$C$58,$C$59)</f>
        <v>1600</v>
      </c>
      <c r="G60" s="14">
        <f t="shared" ref="G60:G63" si="8">(G59-F60)</f>
        <v>6800</v>
      </c>
    </row>
    <row r="61" spans="1:7" x14ac:dyDescent="0.25">
      <c r="B61" s="2"/>
      <c r="E61" s="12">
        <v>3</v>
      </c>
      <c r="F61" s="47">
        <f t="shared" si="7"/>
        <v>1600</v>
      </c>
      <c r="G61" s="14">
        <f t="shared" si="8"/>
        <v>5200</v>
      </c>
    </row>
    <row r="62" spans="1:7" x14ac:dyDescent="0.25">
      <c r="E62" s="12">
        <v>4</v>
      </c>
      <c r="F62" s="47">
        <f t="shared" si="7"/>
        <v>1600</v>
      </c>
      <c r="G62" s="14">
        <f t="shared" si="8"/>
        <v>3600</v>
      </c>
    </row>
    <row r="63" spans="1:7" x14ac:dyDescent="0.25">
      <c r="E63" s="12">
        <v>5</v>
      </c>
      <c r="F63" s="47">
        <f t="shared" si="7"/>
        <v>1600</v>
      </c>
      <c r="G63" s="14">
        <f t="shared" si="8"/>
        <v>2000</v>
      </c>
    </row>
    <row r="66" spans="1:7" x14ac:dyDescent="0.25">
      <c r="A66" s="24" t="s">
        <v>379</v>
      </c>
      <c r="B66" s="2" t="s">
        <v>380</v>
      </c>
    </row>
    <row r="67" spans="1:7" x14ac:dyDescent="0.25">
      <c r="B67" s="2" t="s">
        <v>381</v>
      </c>
    </row>
    <row r="68" spans="1:7" x14ac:dyDescent="0.25">
      <c r="B68" s="2"/>
    </row>
    <row r="69" spans="1:7" ht="16.5" thickBot="1" x14ac:dyDescent="0.3">
      <c r="B69" s="2" t="s">
        <v>224</v>
      </c>
      <c r="C69" s="14">
        <v>10000</v>
      </c>
      <c r="E69" s="35" t="s">
        <v>370</v>
      </c>
      <c r="F69" s="35" t="s">
        <v>222</v>
      </c>
      <c r="G69" s="35" t="s">
        <v>223</v>
      </c>
    </row>
    <row r="70" spans="1:7" x14ac:dyDescent="0.25">
      <c r="B70" s="2" t="s">
        <v>371</v>
      </c>
      <c r="C70" s="14">
        <v>2000</v>
      </c>
      <c r="E70" s="12">
        <v>0</v>
      </c>
      <c r="G70" s="14">
        <f>+C69</f>
        <v>10000</v>
      </c>
    </row>
    <row r="71" spans="1:7" x14ac:dyDescent="0.25">
      <c r="B71" s="2" t="s">
        <v>372</v>
      </c>
      <c r="C71" s="10">
        <v>5</v>
      </c>
      <c r="E71" s="12">
        <v>1</v>
      </c>
      <c r="F71" s="47">
        <f>SYD($C$69,$C$70,$C$71,E71)</f>
        <v>2666.6666666666665</v>
      </c>
      <c r="G71" s="14">
        <f>(G70-F71)</f>
        <v>7333.3333333333339</v>
      </c>
    </row>
    <row r="72" spans="1:7" x14ac:dyDescent="0.25">
      <c r="B72" s="2"/>
      <c r="E72" s="12">
        <v>2</v>
      </c>
      <c r="F72" s="47">
        <f t="shared" ref="F72:F75" si="9">SYD($C$69,$C$70,$C$71,E72)</f>
        <v>2133.3333333333335</v>
      </c>
      <c r="G72" s="14">
        <f t="shared" ref="G72:G75" si="10">(G71-F72)</f>
        <v>5200</v>
      </c>
    </row>
    <row r="73" spans="1:7" x14ac:dyDescent="0.25">
      <c r="B73" s="2"/>
      <c r="E73" s="12">
        <v>3</v>
      </c>
      <c r="F73" s="47">
        <f t="shared" si="9"/>
        <v>1600</v>
      </c>
      <c r="G73" s="14">
        <f t="shared" si="10"/>
        <v>3600</v>
      </c>
    </row>
    <row r="74" spans="1:7" x14ac:dyDescent="0.25">
      <c r="E74" s="12">
        <v>4</v>
      </c>
      <c r="F74" s="47">
        <f t="shared" si="9"/>
        <v>1066.6666666666667</v>
      </c>
      <c r="G74" s="14">
        <f t="shared" si="10"/>
        <v>2533.333333333333</v>
      </c>
    </row>
    <row r="75" spans="1:7" x14ac:dyDescent="0.25">
      <c r="E75" s="12">
        <v>5</v>
      </c>
      <c r="F75" s="47">
        <f t="shared" si="9"/>
        <v>533.33333333333337</v>
      </c>
      <c r="G75" s="14">
        <f t="shared" si="10"/>
        <v>1999.9999999999995</v>
      </c>
    </row>
    <row r="78" spans="1:7" x14ac:dyDescent="0.25">
      <c r="A78" s="24" t="s">
        <v>382</v>
      </c>
      <c r="B78" s="2" t="s">
        <v>383</v>
      </c>
    </row>
    <row r="79" spans="1:7" x14ac:dyDescent="0.25">
      <c r="B79" s="2" t="s">
        <v>384</v>
      </c>
    </row>
    <row r="81" spans="2:7" ht="16.5" thickBot="1" x14ac:dyDescent="0.3">
      <c r="B81" s="2" t="s">
        <v>224</v>
      </c>
      <c r="C81" s="14">
        <v>10000</v>
      </c>
      <c r="E81" s="35" t="s">
        <v>370</v>
      </c>
      <c r="F81" s="35" t="s">
        <v>222</v>
      </c>
      <c r="G81" s="35" t="s">
        <v>223</v>
      </c>
    </row>
    <row r="82" spans="2:7" x14ac:dyDescent="0.25">
      <c r="B82" s="2" t="s">
        <v>371</v>
      </c>
      <c r="C82" s="14">
        <v>1000</v>
      </c>
      <c r="E82" s="12">
        <v>0</v>
      </c>
      <c r="G82" s="14">
        <f>+C81</f>
        <v>10000</v>
      </c>
    </row>
    <row r="83" spans="2:7" x14ac:dyDescent="0.25">
      <c r="B83" s="2" t="s">
        <v>372</v>
      </c>
      <c r="C83" s="10">
        <v>5</v>
      </c>
      <c r="E83" s="12">
        <v>1</v>
      </c>
      <c r="F83" s="47">
        <f>VDB($C$81,$C$82,$C$83,E83-1,E83)</f>
        <v>4000</v>
      </c>
      <c r="G83" s="14">
        <f>(G82-F83)</f>
        <v>6000</v>
      </c>
    </row>
    <row r="84" spans="2:7" x14ac:dyDescent="0.25">
      <c r="B84" s="2"/>
      <c r="E84" s="12">
        <v>2</v>
      </c>
      <c r="F84" s="47">
        <f t="shared" ref="F84:F87" si="11">VDB($C$81,$C$82,$C$83,E84-1,E84)</f>
        <v>2400</v>
      </c>
      <c r="G84" s="14">
        <f t="shared" ref="G84:G87" si="12">(G83-F84)</f>
        <v>3600</v>
      </c>
    </row>
    <row r="85" spans="2:7" x14ac:dyDescent="0.25">
      <c r="B85" s="2"/>
      <c r="E85" s="12">
        <v>3</v>
      </c>
      <c r="F85" s="47">
        <f t="shared" si="11"/>
        <v>1440</v>
      </c>
      <c r="G85" s="14">
        <f t="shared" si="12"/>
        <v>2160</v>
      </c>
    </row>
    <row r="86" spans="2:7" x14ac:dyDescent="0.25">
      <c r="E86" s="12">
        <v>4</v>
      </c>
      <c r="F86" s="47">
        <f t="shared" si="11"/>
        <v>864</v>
      </c>
      <c r="G86" s="14">
        <f t="shared" si="12"/>
        <v>1296</v>
      </c>
    </row>
    <row r="87" spans="2:7" x14ac:dyDescent="0.25">
      <c r="E87" s="12">
        <v>5</v>
      </c>
      <c r="F87" s="47">
        <f t="shared" si="11"/>
        <v>296</v>
      </c>
      <c r="G87" s="14">
        <f t="shared" si="12"/>
        <v>1000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E7E64-459B-4F24-94E1-B6D01ED7A181}">
  <sheetPr>
    <tabColor theme="6" tint="0.39997558519241921"/>
  </sheetPr>
  <dimension ref="A1:E24"/>
  <sheetViews>
    <sheetView workbookViewId="0"/>
  </sheetViews>
  <sheetFormatPr defaultColWidth="9.140625" defaultRowHeight="15.75" x14ac:dyDescent="0.25"/>
  <cols>
    <col min="1" max="1" width="23.85546875" style="10" customWidth="1"/>
    <col min="2" max="6" width="15.7109375" style="10" customWidth="1"/>
    <col min="7" max="16384" width="9.140625" style="10"/>
  </cols>
  <sheetData>
    <row r="1" spans="1:5" ht="23.25" x14ac:dyDescent="0.35">
      <c r="A1" s="5" t="s">
        <v>385</v>
      </c>
    </row>
    <row r="4" spans="1:5" ht="18.75" x14ac:dyDescent="0.3">
      <c r="A4" s="19" t="s">
        <v>386</v>
      </c>
      <c r="B4" s="10" t="s">
        <v>387</v>
      </c>
    </row>
    <row r="5" spans="1:5" ht="18.75" x14ac:dyDescent="0.3">
      <c r="A5" s="19"/>
      <c r="B5" s="10" t="s">
        <v>388</v>
      </c>
    </row>
    <row r="6" spans="1:5" x14ac:dyDescent="0.25">
      <c r="A6" s="24"/>
    </row>
    <row r="7" spans="1:5" x14ac:dyDescent="0.25">
      <c r="A7" s="24"/>
      <c r="B7" s="25" t="s">
        <v>389</v>
      </c>
      <c r="C7" s="25" t="s">
        <v>390</v>
      </c>
      <c r="D7" s="51" t="s">
        <v>391</v>
      </c>
    </row>
    <row r="8" spans="1:5" x14ac:dyDescent="0.25">
      <c r="A8" s="24"/>
      <c r="B8" s="52">
        <v>1.01</v>
      </c>
      <c r="C8" s="52" t="s">
        <v>392</v>
      </c>
      <c r="D8" s="24">
        <f>DOLLARDE(B8,16)</f>
        <v>1.0625</v>
      </c>
    </row>
    <row r="9" spans="1:5" x14ac:dyDescent="0.25">
      <c r="B9" s="52">
        <v>1.1000000000000001</v>
      </c>
      <c r="C9" s="53" t="s">
        <v>393</v>
      </c>
      <c r="D9" s="24">
        <f>DOLLARDE(B9,16)</f>
        <v>1.6250000000000004</v>
      </c>
    </row>
    <row r="10" spans="1:5" x14ac:dyDescent="0.25">
      <c r="B10" s="52">
        <v>1.03</v>
      </c>
      <c r="C10" s="53" t="s">
        <v>394</v>
      </c>
      <c r="D10" s="24">
        <f>DOLLARDE(B10,32)</f>
        <v>1.09375</v>
      </c>
    </row>
    <row r="11" spans="1:5" x14ac:dyDescent="0.25">
      <c r="B11" s="52">
        <v>1.3</v>
      </c>
      <c r="C11" s="53" t="s">
        <v>395</v>
      </c>
      <c r="D11" s="24">
        <f>DOLLARDE(B11,32)</f>
        <v>1.9375</v>
      </c>
    </row>
    <row r="12" spans="1:5" x14ac:dyDescent="0.25">
      <c r="B12" s="52">
        <v>1.1200000000000001</v>
      </c>
      <c r="C12" s="53" t="s">
        <v>396</v>
      </c>
      <c r="D12" s="24">
        <f>DOLLARDE(B12,32)</f>
        <v>1.3750000000000004</v>
      </c>
    </row>
    <row r="13" spans="1:5" x14ac:dyDescent="0.25">
      <c r="B13" s="18"/>
      <c r="C13" s="18"/>
      <c r="D13" s="14"/>
      <c r="E13" s="14"/>
    </row>
    <row r="15" spans="1:5" ht="18.75" x14ac:dyDescent="0.3">
      <c r="A15" s="19" t="s">
        <v>397</v>
      </c>
      <c r="B15" s="10" t="s">
        <v>398</v>
      </c>
      <c r="C15" s="30"/>
    </row>
    <row r="16" spans="1:5" x14ac:dyDescent="0.25">
      <c r="B16" s="10" t="s">
        <v>399</v>
      </c>
    </row>
    <row r="19" spans="2:5" x14ac:dyDescent="0.25">
      <c r="B19" s="25" t="s">
        <v>391</v>
      </c>
      <c r="C19" s="25" t="s">
        <v>390</v>
      </c>
      <c r="D19" s="51" t="s">
        <v>400</v>
      </c>
    </row>
    <row r="20" spans="2:5" x14ac:dyDescent="0.25">
      <c r="B20" s="54">
        <v>1.0625</v>
      </c>
      <c r="C20" s="52" t="s">
        <v>392</v>
      </c>
      <c r="D20" s="24">
        <f>DOLLARFR(B20,16)</f>
        <v>1.01</v>
      </c>
    </row>
    <row r="21" spans="2:5" x14ac:dyDescent="0.25">
      <c r="B21" s="54">
        <v>1.625</v>
      </c>
      <c r="C21" s="53" t="s">
        <v>393</v>
      </c>
      <c r="D21" s="24">
        <f>DOLLARFR(B21,16)</f>
        <v>1.1000000000000001</v>
      </c>
    </row>
    <row r="22" spans="2:5" x14ac:dyDescent="0.25">
      <c r="B22" s="54">
        <v>1.09375</v>
      </c>
      <c r="C22" s="53" t="s">
        <v>394</v>
      </c>
      <c r="D22" s="24">
        <f>DOLLARFR(B22,32)</f>
        <v>1.03</v>
      </c>
    </row>
    <row r="23" spans="2:5" x14ac:dyDescent="0.25">
      <c r="B23" s="54">
        <v>1.9375</v>
      </c>
      <c r="C23" s="53" t="s">
        <v>395</v>
      </c>
      <c r="D23" s="24">
        <f t="shared" ref="D23:D24" si="0">DOLLARFR(B23,32)</f>
        <v>1.3</v>
      </c>
    </row>
    <row r="24" spans="2:5" x14ac:dyDescent="0.25">
      <c r="B24" s="54">
        <v>1.375</v>
      </c>
      <c r="C24" s="53" t="s">
        <v>396</v>
      </c>
      <c r="D24" s="24">
        <f t="shared" si="0"/>
        <v>1.1200000000000001</v>
      </c>
      <c r="E24" s="28"/>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0258-51AB-4499-92ED-A31B453E7FD2}">
  <sheetPr>
    <tabColor theme="6" tint="0.39997558519241921"/>
  </sheetPr>
  <dimension ref="A1:E53"/>
  <sheetViews>
    <sheetView workbookViewId="0"/>
  </sheetViews>
  <sheetFormatPr defaultRowHeight="15" x14ac:dyDescent="0.25"/>
  <cols>
    <col min="1" max="1" width="23.7109375" style="2" customWidth="1"/>
    <col min="2" max="2" width="20.7109375" style="2" customWidth="1"/>
    <col min="3" max="5" width="15.7109375" style="2" customWidth="1"/>
    <col min="6" max="16384" width="9.140625" style="2"/>
  </cols>
  <sheetData>
    <row r="1" spans="1:5" ht="23.25" x14ac:dyDescent="0.35">
      <c r="A1" s="5" t="s">
        <v>401</v>
      </c>
    </row>
    <row r="4" spans="1:5" ht="18.75" x14ac:dyDescent="0.3">
      <c r="A4" s="19" t="s">
        <v>405</v>
      </c>
      <c r="B4" s="56" t="s">
        <v>404</v>
      </c>
    </row>
    <row r="5" spans="1:5" ht="15.75" x14ac:dyDescent="0.25">
      <c r="B5" s="10" t="s">
        <v>408</v>
      </c>
    </row>
    <row r="8" spans="1:5" ht="15.75" x14ac:dyDescent="0.25">
      <c r="B8" s="10" t="s">
        <v>125</v>
      </c>
      <c r="C8" s="11">
        <v>40568</v>
      </c>
      <c r="E8" s="6" t="s">
        <v>406</v>
      </c>
    </row>
    <row r="9" spans="1:5" ht="15.75" x14ac:dyDescent="0.25">
      <c r="B9" s="10" t="s">
        <v>136</v>
      </c>
      <c r="C9" s="11">
        <v>40862</v>
      </c>
      <c r="E9" s="57">
        <f>COUPDAYBS(C8,C9,C10,C11)</f>
        <v>71</v>
      </c>
    </row>
    <row r="10" spans="1:5" ht="15.75" x14ac:dyDescent="0.25">
      <c r="B10" s="10" t="s">
        <v>403</v>
      </c>
      <c r="C10" s="55">
        <v>2</v>
      </c>
    </row>
    <row r="11" spans="1:5" ht="15.75" x14ac:dyDescent="0.25">
      <c r="B11" s="10" t="s">
        <v>402</v>
      </c>
      <c r="C11" s="55">
        <v>1</v>
      </c>
    </row>
    <row r="14" spans="1:5" ht="18.75" x14ac:dyDescent="0.3">
      <c r="A14" s="19" t="s">
        <v>409</v>
      </c>
      <c r="B14" s="56" t="s">
        <v>407</v>
      </c>
    </row>
    <row r="15" spans="1:5" ht="15.75" x14ac:dyDescent="0.25">
      <c r="B15" s="10" t="s">
        <v>411</v>
      </c>
    </row>
    <row r="18" spans="1:5" ht="15.75" x14ac:dyDescent="0.25">
      <c r="B18" s="10" t="s">
        <v>125</v>
      </c>
      <c r="C18" s="58">
        <v>40568</v>
      </c>
      <c r="E18" s="6" t="s">
        <v>406</v>
      </c>
    </row>
    <row r="19" spans="1:5" ht="15.75" x14ac:dyDescent="0.25">
      <c r="B19" s="10" t="s">
        <v>136</v>
      </c>
      <c r="C19" s="58">
        <v>40862</v>
      </c>
      <c r="E19" s="57">
        <f>COUPDAYS(C18,C19,C20,C21)</f>
        <v>181</v>
      </c>
    </row>
    <row r="20" spans="1:5" ht="15.75" x14ac:dyDescent="0.25">
      <c r="B20" s="10" t="s">
        <v>403</v>
      </c>
      <c r="C20" s="2">
        <v>2</v>
      </c>
    </row>
    <row r="21" spans="1:5" ht="15.75" x14ac:dyDescent="0.25">
      <c r="B21" s="10" t="s">
        <v>402</v>
      </c>
      <c r="C21" s="2">
        <v>1</v>
      </c>
    </row>
    <row r="24" spans="1:5" ht="18.75" x14ac:dyDescent="0.3">
      <c r="A24" s="19" t="s">
        <v>410</v>
      </c>
      <c r="B24" s="2" t="s">
        <v>413</v>
      </c>
    </row>
    <row r="25" spans="1:5" ht="15.75" x14ac:dyDescent="0.25">
      <c r="B25" s="10" t="s">
        <v>412</v>
      </c>
    </row>
    <row r="26" spans="1:5" ht="15.75" x14ac:dyDescent="0.25">
      <c r="B26" s="10" t="s">
        <v>125</v>
      </c>
      <c r="C26" s="58">
        <v>40568</v>
      </c>
      <c r="E26" s="6" t="s">
        <v>406</v>
      </c>
    </row>
    <row r="27" spans="1:5" ht="15.75" x14ac:dyDescent="0.25">
      <c r="B27" s="10" t="s">
        <v>136</v>
      </c>
      <c r="C27" s="58">
        <v>40862</v>
      </c>
      <c r="E27" s="57">
        <f>COUPDAYSNC(C26,C27,C28,C29)</f>
        <v>110</v>
      </c>
    </row>
    <row r="28" spans="1:5" ht="15.75" x14ac:dyDescent="0.25">
      <c r="B28" s="10" t="s">
        <v>403</v>
      </c>
      <c r="C28" s="2">
        <v>2</v>
      </c>
    </row>
    <row r="29" spans="1:5" ht="15.75" x14ac:dyDescent="0.25">
      <c r="B29" s="10" t="s">
        <v>402</v>
      </c>
      <c r="C29" s="2">
        <v>1</v>
      </c>
    </row>
    <row r="32" spans="1:5" ht="18.75" x14ac:dyDescent="0.3">
      <c r="A32" s="19" t="s">
        <v>414</v>
      </c>
      <c r="B32" s="2" t="s">
        <v>415</v>
      </c>
    </row>
    <row r="33" spans="1:5" ht="15.75" x14ac:dyDescent="0.25">
      <c r="B33" s="10" t="s">
        <v>416</v>
      </c>
    </row>
    <row r="34" spans="1:5" ht="15.75" x14ac:dyDescent="0.25">
      <c r="B34" s="10" t="s">
        <v>125</v>
      </c>
      <c r="C34" s="58">
        <v>40568</v>
      </c>
      <c r="E34" s="6" t="s">
        <v>406</v>
      </c>
    </row>
    <row r="35" spans="1:5" ht="15.75" x14ac:dyDescent="0.25">
      <c r="B35" s="10" t="s">
        <v>136</v>
      </c>
      <c r="C35" s="58">
        <v>40862</v>
      </c>
      <c r="E35" s="59">
        <f>COUPNCD(C34,C35,C36,C37)</f>
        <v>40678</v>
      </c>
    </row>
    <row r="36" spans="1:5" ht="15.75" x14ac:dyDescent="0.25">
      <c r="B36" s="10" t="s">
        <v>403</v>
      </c>
      <c r="C36" s="2">
        <v>2</v>
      </c>
    </row>
    <row r="37" spans="1:5" ht="15.75" x14ac:dyDescent="0.25">
      <c r="B37" s="10" t="s">
        <v>402</v>
      </c>
      <c r="C37" s="2">
        <v>1</v>
      </c>
    </row>
    <row r="40" spans="1:5" ht="18.75" x14ac:dyDescent="0.3">
      <c r="A40" s="19" t="s">
        <v>417</v>
      </c>
      <c r="B40" s="2" t="s">
        <v>418</v>
      </c>
    </row>
    <row r="41" spans="1:5" x14ac:dyDescent="0.25">
      <c r="B41" s="2" t="s">
        <v>419</v>
      </c>
    </row>
    <row r="42" spans="1:5" ht="15.75" x14ac:dyDescent="0.25">
      <c r="B42" s="10" t="s">
        <v>125</v>
      </c>
      <c r="C42" s="58">
        <v>39107</v>
      </c>
      <c r="E42" s="6" t="s">
        <v>406</v>
      </c>
    </row>
    <row r="43" spans="1:5" ht="15.75" x14ac:dyDescent="0.25">
      <c r="B43" s="10" t="s">
        <v>136</v>
      </c>
      <c r="C43" s="58">
        <v>39767</v>
      </c>
      <c r="E43" s="60">
        <f>COUPNUM(C42,C43,C44,C45)</f>
        <v>4</v>
      </c>
    </row>
    <row r="44" spans="1:5" ht="15.75" x14ac:dyDescent="0.25">
      <c r="B44" s="10" t="s">
        <v>403</v>
      </c>
      <c r="C44" s="2">
        <v>2</v>
      </c>
    </row>
    <row r="45" spans="1:5" ht="15.75" x14ac:dyDescent="0.25">
      <c r="B45" s="10" t="s">
        <v>402</v>
      </c>
      <c r="C45" s="2">
        <v>1</v>
      </c>
    </row>
    <row r="48" spans="1:5" ht="18.75" x14ac:dyDescent="0.3">
      <c r="A48" s="19" t="s">
        <v>420</v>
      </c>
      <c r="B48" s="2" t="s">
        <v>421</v>
      </c>
    </row>
    <row r="49" spans="2:5" x14ac:dyDescent="0.25">
      <c r="B49" s="2" t="s">
        <v>422</v>
      </c>
    </row>
    <row r="50" spans="2:5" ht="15.75" x14ac:dyDescent="0.25">
      <c r="B50" s="10" t="s">
        <v>125</v>
      </c>
      <c r="C50" s="58">
        <v>40568</v>
      </c>
      <c r="E50" s="6" t="s">
        <v>406</v>
      </c>
    </row>
    <row r="51" spans="2:5" ht="15.75" x14ac:dyDescent="0.25">
      <c r="B51" s="10" t="s">
        <v>136</v>
      </c>
      <c r="C51" s="58">
        <v>40862</v>
      </c>
      <c r="E51" s="59">
        <f>COUPPCD(C50,C51,C52,C53)</f>
        <v>40497</v>
      </c>
    </row>
    <row r="52" spans="2:5" ht="15.75" x14ac:dyDescent="0.25">
      <c r="B52" s="10" t="s">
        <v>403</v>
      </c>
      <c r="C52" s="2">
        <v>2</v>
      </c>
    </row>
    <row r="53" spans="2:5" ht="15.75" x14ac:dyDescent="0.25">
      <c r="B53" s="10" t="s">
        <v>402</v>
      </c>
      <c r="C53" s="2">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7765-7CDF-42EC-A45A-286E79A4D6E1}">
  <sheetPr>
    <tabColor theme="8" tint="0.79998168889431442"/>
  </sheetPr>
  <dimension ref="A1:F248"/>
  <sheetViews>
    <sheetView workbookViewId="0"/>
  </sheetViews>
  <sheetFormatPr defaultRowHeight="14.25" x14ac:dyDescent="0.25"/>
  <cols>
    <col min="1" max="1" width="11.5703125" style="97" customWidth="1"/>
    <col min="2" max="2" width="6.7109375" style="97" customWidth="1"/>
    <col min="3" max="3" width="4.7109375" style="96" customWidth="1"/>
    <col min="4" max="4" width="6.7109375" style="96" customWidth="1"/>
    <col min="5" max="5" width="6.7109375" style="98" customWidth="1"/>
    <col min="6" max="16384" width="9.140625" style="98"/>
  </cols>
  <sheetData>
    <row r="1" spans="1:6" ht="23.25" x14ac:dyDescent="0.35">
      <c r="A1" s="5" t="s">
        <v>748</v>
      </c>
    </row>
    <row r="3" spans="1:6" ht="15" x14ac:dyDescent="0.25">
      <c r="A3" s="95" t="s">
        <v>511</v>
      </c>
      <c r="B3" s="96" t="s">
        <v>468</v>
      </c>
    </row>
    <row r="4" spans="1:6" x14ac:dyDescent="0.25">
      <c r="B4" s="97" t="s">
        <v>469</v>
      </c>
      <c r="C4" s="96" t="s">
        <v>470</v>
      </c>
    </row>
    <row r="5" spans="1:6" x14ac:dyDescent="0.25">
      <c r="C5" s="100" t="s">
        <v>471</v>
      </c>
      <c r="D5" s="96" t="s">
        <v>472</v>
      </c>
    </row>
    <row r="6" spans="1:6" x14ac:dyDescent="0.25">
      <c r="C6" s="100" t="s">
        <v>473</v>
      </c>
      <c r="D6" s="96" t="s">
        <v>476</v>
      </c>
    </row>
    <row r="7" spans="1:6" x14ac:dyDescent="0.25">
      <c r="C7" s="100" t="s">
        <v>475</v>
      </c>
      <c r="D7" s="96" t="s">
        <v>474</v>
      </c>
    </row>
    <row r="8" spans="1:6" x14ac:dyDescent="0.25">
      <c r="C8" s="100" t="s">
        <v>477</v>
      </c>
      <c r="D8" s="96" t="s">
        <v>478</v>
      </c>
    </row>
    <row r="9" spans="1:6" x14ac:dyDescent="0.25">
      <c r="C9" s="100" t="s">
        <v>479</v>
      </c>
      <c r="D9" s="96" t="s">
        <v>482</v>
      </c>
    </row>
    <row r="10" spans="1:6" x14ac:dyDescent="0.25">
      <c r="C10" s="100" t="s">
        <v>480</v>
      </c>
      <c r="D10" s="96" t="s">
        <v>483</v>
      </c>
    </row>
    <row r="11" spans="1:6" x14ac:dyDescent="0.25">
      <c r="C11" s="100" t="s">
        <v>481</v>
      </c>
      <c r="D11" s="96" t="s">
        <v>484</v>
      </c>
    </row>
    <row r="12" spans="1:6" x14ac:dyDescent="0.25">
      <c r="D12" s="97" t="s">
        <v>485</v>
      </c>
      <c r="E12" s="98" t="s">
        <v>487</v>
      </c>
    </row>
    <row r="13" spans="1:6" x14ac:dyDescent="0.25">
      <c r="D13" s="97" t="s">
        <v>486</v>
      </c>
      <c r="E13" s="98" t="s">
        <v>488</v>
      </c>
    </row>
    <row r="14" spans="1:6" x14ac:dyDescent="0.25">
      <c r="C14" s="100" t="s">
        <v>489</v>
      </c>
      <c r="D14" s="96" t="s">
        <v>490</v>
      </c>
    </row>
    <row r="15" spans="1:6" x14ac:dyDescent="0.25">
      <c r="D15" s="97" t="s">
        <v>485</v>
      </c>
      <c r="E15" s="98" t="s">
        <v>491</v>
      </c>
    </row>
    <row r="16" spans="1:6" x14ac:dyDescent="0.25">
      <c r="E16" s="97" t="s">
        <v>492</v>
      </c>
      <c r="F16" s="98" t="s">
        <v>493</v>
      </c>
    </row>
    <row r="17" spans="1:6" x14ac:dyDescent="0.25">
      <c r="E17" s="97" t="s">
        <v>494</v>
      </c>
      <c r="F17" s="98" t="s">
        <v>495</v>
      </c>
    </row>
    <row r="18" spans="1:6" x14ac:dyDescent="0.25">
      <c r="D18" s="97" t="s">
        <v>486</v>
      </c>
      <c r="E18" s="98" t="s">
        <v>497</v>
      </c>
    </row>
    <row r="19" spans="1:6" x14ac:dyDescent="0.25">
      <c r="D19" s="97" t="s">
        <v>496</v>
      </c>
      <c r="E19" s="98" t="s">
        <v>498</v>
      </c>
    </row>
    <row r="20" spans="1:6" x14ac:dyDescent="0.25">
      <c r="D20" s="97" t="s">
        <v>499</v>
      </c>
      <c r="E20" s="98" t="s">
        <v>500</v>
      </c>
    </row>
    <row r="21" spans="1:6" x14ac:dyDescent="0.25">
      <c r="E21" s="97" t="s">
        <v>492</v>
      </c>
      <c r="F21" s="98" t="s">
        <v>502</v>
      </c>
    </row>
    <row r="22" spans="1:6" x14ac:dyDescent="0.25">
      <c r="E22" s="97" t="s">
        <v>494</v>
      </c>
      <c r="F22" s="98" t="s">
        <v>503</v>
      </c>
    </row>
    <row r="23" spans="1:6" x14ac:dyDescent="0.25">
      <c r="E23" s="97" t="s">
        <v>501</v>
      </c>
      <c r="F23" s="98" t="s">
        <v>504</v>
      </c>
    </row>
    <row r="24" spans="1:6" x14ac:dyDescent="0.25">
      <c r="B24" s="97" t="s">
        <v>505</v>
      </c>
      <c r="C24" s="96" t="s">
        <v>506</v>
      </c>
    </row>
    <row r="25" spans="1:6" x14ac:dyDescent="0.25">
      <c r="C25" s="100" t="s">
        <v>471</v>
      </c>
      <c r="D25" s="96" t="s">
        <v>507</v>
      </c>
    </row>
    <row r="26" spans="1:6" x14ac:dyDescent="0.25">
      <c r="C26" s="100" t="s">
        <v>473</v>
      </c>
      <c r="D26" s="96" t="s">
        <v>508</v>
      </c>
    </row>
    <row r="27" spans="1:6" x14ac:dyDescent="0.25">
      <c r="C27" s="100" t="s">
        <v>475</v>
      </c>
      <c r="D27" s="96" t="s">
        <v>509</v>
      </c>
    </row>
    <row r="28" spans="1:6" x14ac:dyDescent="0.25">
      <c r="C28" s="100" t="s">
        <v>477</v>
      </c>
      <c r="D28" s="96" t="s">
        <v>510</v>
      </c>
    </row>
    <row r="30" spans="1:6" x14ac:dyDescent="0.25">
      <c r="A30" s="97" t="s">
        <v>512</v>
      </c>
      <c r="B30" s="96" t="s">
        <v>513</v>
      </c>
    </row>
    <row r="31" spans="1:6" x14ac:dyDescent="0.25">
      <c r="B31" s="97" t="s">
        <v>469</v>
      </c>
      <c r="C31" s="96" t="s">
        <v>514</v>
      </c>
    </row>
    <row r="32" spans="1:6" x14ac:dyDescent="0.25">
      <c r="C32" s="100" t="s">
        <v>471</v>
      </c>
      <c r="D32" s="96" t="s">
        <v>515</v>
      </c>
    </row>
    <row r="33" spans="1:5" x14ac:dyDescent="0.25">
      <c r="C33" s="100" t="s">
        <v>473</v>
      </c>
      <c r="D33" s="96" t="s">
        <v>516</v>
      </c>
    </row>
    <row r="34" spans="1:5" x14ac:dyDescent="0.25">
      <c r="C34" s="100" t="s">
        <v>475</v>
      </c>
      <c r="D34" s="96" t="s">
        <v>517</v>
      </c>
    </row>
    <row r="35" spans="1:5" x14ac:dyDescent="0.25">
      <c r="B35" s="97" t="s">
        <v>505</v>
      </c>
      <c r="C35" s="96" t="s">
        <v>518</v>
      </c>
    </row>
    <row r="36" spans="1:5" x14ac:dyDescent="0.25">
      <c r="C36" s="100" t="s">
        <v>471</v>
      </c>
      <c r="D36" s="96" t="s">
        <v>519</v>
      </c>
    </row>
    <row r="37" spans="1:5" x14ac:dyDescent="0.25">
      <c r="D37" s="97" t="s">
        <v>485</v>
      </c>
      <c r="E37" s="98" t="s">
        <v>520</v>
      </c>
    </row>
    <row r="38" spans="1:5" x14ac:dyDescent="0.25">
      <c r="D38" s="97" t="s">
        <v>486</v>
      </c>
      <c r="E38" s="98" t="s">
        <v>521</v>
      </c>
    </row>
    <row r="39" spans="1:5" x14ac:dyDescent="0.25">
      <c r="C39" s="100" t="s">
        <v>473</v>
      </c>
      <c r="D39" s="96" t="s">
        <v>522</v>
      </c>
    </row>
    <row r="40" spans="1:5" x14ac:dyDescent="0.25">
      <c r="C40" s="100" t="s">
        <v>475</v>
      </c>
      <c r="D40" s="96" t="s">
        <v>523</v>
      </c>
    </row>
    <row r="41" spans="1:5" x14ac:dyDescent="0.25">
      <c r="C41" s="100" t="s">
        <v>477</v>
      </c>
      <c r="D41" s="96" t="s">
        <v>524</v>
      </c>
    </row>
    <row r="43" spans="1:5" x14ac:dyDescent="0.25">
      <c r="A43" s="97" t="s">
        <v>525</v>
      </c>
      <c r="B43" s="96" t="s">
        <v>526</v>
      </c>
    </row>
    <row r="44" spans="1:5" x14ac:dyDescent="0.25">
      <c r="B44" s="97" t="s">
        <v>469</v>
      </c>
      <c r="C44" s="96" t="s">
        <v>527</v>
      </c>
    </row>
    <row r="45" spans="1:5" x14ac:dyDescent="0.25">
      <c r="C45" s="100" t="s">
        <v>471</v>
      </c>
      <c r="D45" s="96" t="s">
        <v>528</v>
      </c>
    </row>
    <row r="46" spans="1:5" x14ac:dyDescent="0.25">
      <c r="C46" s="100" t="s">
        <v>473</v>
      </c>
      <c r="D46" s="96" t="s">
        <v>529</v>
      </c>
    </row>
    <row r="47" spans="1:5" x14ac:dyDescent="0.25">
      <c r="C47" s="100" t="s">
        <v>475</v>
      </c>
      <c r="D47" s="96" t="s">
        <v>530</v>
      </c>
    </row>
    <row r="48" spans="1:5" x14ac:dyDescent="0.25">
      <c r="C48" s="100" t="s">
        <v>477</v>
      </c>
      <c r="D48" s="96" t="s">
        <v>531</v>
      </c>
    </row>
    <row r="49" spans="1:4" x14ac:dyDescent="0.25">
      <c r="B49" s="97" t="s">
        <v>532</v>
      </c>
      <c r="C49" s="96" t="s">
        <v>533</v>
      </c>
    </row>
    <row r="50" spans="1:4" x14ac:dyDescent="0.25">
      <c r="B50" s="97" t="s">
        <v>505</v>
      </c>
      <c r="C50" s="96" t="s">
        <v>534</v>
      </c>
    </row>
    <row r="51" spans="1:4" x14ac:dyDescent="0.25">
      <c r="C51" s="100" t="s">
        <v>471</v>
      </c>
      <c r="D51" s="96" t="s">
        <v>535</v>
      </c>
    </row>
    <row r="52" spans="1:4" x14ac:dyDescent="0.25">
      <c r="C52" s="100" t="s">
        <v>473</v>
      </c>
      <c r="D52" s="96" t="s">
        <v>536</v>
      </c>
    </row>
    <row r="53" spans="1:4" x14ac:dyDescent="0.25">
      <c r="B53" s="97" t="s">
        <v>537</v>
      </c>
      <c r="C53" s="96" t="s">
        <v>538</v>
      </c>
    </row>
    <row r="54" spans="1:4" x14ac:dyDescent="0.25">
      <c r="B54" s="97" t="s">
        <v>539</v>
      </c>
      <c r="C54" s="96" t="s">
        <v>543</v>
      </c>
    </row>
    <row r="55" spans="1:4" x14ac:dyDescent="0.25">
      <c r="B55" s="97" t="s">
        <v>540</v>
      </c>
      <c r="C55" s="96" t="s">
        <v>544</v>
      </c>
    </row>
    <row r="56" spans="1:4" x14ac:dyDescent="0.25">
      <c r="B56" s="97" t="s">
        <v>541</v>
      </c>
      <c r="C56" s="96" t="s">
        <v>545</v>
      </c>
    </row>
    <row r="57" spans="1:4" x14ac:dyDescent="0.25">
      <c r="B57" s="97" t="s">
        <v>542</v>
      </c>
      <c r="C57" s="96" t="s">
        <v>546</v>
      </c>
    </row>
    <row r="58" spans="1:4" x14ac:dyDescent="0.25">
      <c r="C58" s="100" t="s">
        <v>471</v>
      </c>
      <c r="D58" s="96" t="s">
        <v>547</v>
      </c>
    </row>
    <row r="59" spans="1:4" x14ac:dyDescent="0.25">
      <c r="C59" s="100" t="s">
        <v>473</v>
      </c>
      <c r="D59" s="96" t="s">
        <v>548</v>
      </c>
    </row>
    <row r="60" spans="1:4" x14ac:dyDescent="0.25">
      <c r="C60" s="100" t="s">
        <v>475</v>
      </c>
      <c r="D60" s="96" t="s">
        <v>549</v>
      </c>
    </row>
    <row r="62" spans="1:4" x14ac:dyDescent="0.25">
      <c r="A62" s="97" t="s">
        <v>561</v>
      </c>
      <c r="B62" s="96" t="s">
        <v>551</v>
      </c>
    </row>
    <row r="63" spans="1:4" x14ac:dyDescent="0.25">
      <c r="B63" s="97" t="s">
        <v>469</v>
      </c>
      <c r="C63" s="96" t="s">
        <v>552</v>
      </c>
    </row>
    <row r="64" spans="1:4" x14ac:dyDescent="0.25">
      <c r="B64" s="97" t="s">
        <v>505</v>
      </c>
      <c r="C64" s="96" t="s">
        <v>553</v>
      </c>
    </row>
    <row r="65" spans="3:6" x14ac:dyDescent="0.25">
      <c r="C65" s="100" t="s">
        <v>471</v>
      </c>
      <c r="D65" s="96" t="s">
        <v>554</v>
      </c>
    </row>
    <row r="66" spans="3:6" x14ac:dyDescent="0.25">
      <c r="C66" s="100" t="s">
        <v>473</v>
      </c>
      <c r="D66" s="96" t="s">
        <v>555</v>
      </c>
    </row>
    <row r="67" spans="3:6" x14ac:dyDescent="0.25">
      <c r="C67" s="100" t="s">
        <v>475</v>
      </c>
      <c r="D67" s="96" t="s">
        <v>556</v>
      </c>
    </row>
    <row r="68" spans="3:6" x14ac:dyDescent="0.25">
      <c r="D68" s="97" t="s">
        <v>485</v>
      </c>
      <c r="E68" s="98" t="s">
        <v>557</v>
      </c>
    </row>
    <row r="69" spans="3:6" x14ac:dyDescent="0.25">
      <c r="D69" s="97" t="s">
        <v>486</v>
      </c>
      <c r="E69" s="98" t="s">
        <v>558</v>
      </c>
    </row>
    <row r="70" spans="3:6" x14ac:dyDescent="0.25">
      <c r="E70" s="97" t="s">
        <v>492</v>
      </c>
      <c r="F70" s="98" t="s">
        <v>559</v>
      </c>
    </row>
    <row r="71" spans="3:6" x14ac:dyDescent="0.25">
      <c r="E71" s="97" t="s">
        <v>494</v>
      </c>
      <c r="F71" s="98" t="s">
        <v>560</v>
      </c>
    </row>
    <row r="72" spans="3:6" x14ac:dyDescent="0.25">
      <c r="D72" s="97" t="s">
        <v>496</v>
      </c>
      <c r="E72" s="96" t="s">
        <v>562</v>
      </c>
    </row>
    <row r="73" spans="3:6" x14ac:dyDescent="0.25">
      <c r="E73" s="97" t="s">
        <v>492</v>
      </c>
      <c r="F73" s="98" t="s">
        <v>564</v>
      </c>
    </row>
    <row r="74" spans="3:6" x14ac:dyDescent="0.25">
      <c r="E74" s="97" t="s">
        <v>494</v>
      </c>
      <c r="F74" s="98" t="s">
        <v>565</v>
      </c>
    </row>
    <row r="75" spans="3:6" x14ac:dyDescent="0.25">
      <c r="E75" s="97" t="s">
        <v>501</v>
      </c>
      <c r="F75" s="98" t="s">
        <v>566</v>
      </c>
    </row>
    <row r="76" spans="3:6" x14ac:dyDescent="0.25">
      <c r="E76" s="97" t="s">
        <v>563</v>
      </c>
      <c r="F76" s="98" t="s">
        <v>567</v>
      </c>
    </row>
    <row r="77" spans="3:6" x14ac:dyDescent="0.25">
      <c r="C77" s="100" t="s">
        <v>477</v>
      </c>
      <c r="D77" s="96" t="s">
        <v>568</v>
      </c>
    </row>
    <row r="78" spans="3:6" x14ac:dyDescent="0.25">
      <c r="D78" s="97" t="s">
        <v>485</v>
      </c>
      <c r="E78" s="98" t="s">
        <v>569</v>
      </c>
    </row>
    <row r="79" spans="3:6" x14ac:dyDescent="0.25">
      <c r="D79" s="97" t="s">
        <v>486</v>
      </c>
      <c r="E79" s="98" t="s">
        <v>570</v>
      </c>
    </row>
    <row r="80" spans="3:6" x14ac:dyDescent="0.25">
      <c r="D80" s="97" t="s">
        <v>496</v>
      </c>
      <c r="E80" s="98" t="s">
        <v>571</v>
      </c>
    </row>
    <row r="81" spans="1:5" x14ac:dyDescent="0.25">
      <c r="C81" s="100" t="s">
        <v>479</v>
      </c>
      <c r="D81" s="96" t="s">
        <v>572</v>
      </c>
    </row>
    <row r="82" spans="1:5" x14ac:dyDescent="0.25">
      <c r="D82" s="97" t="s">
        <v>485</v>
      </c>
      <c r="E82" s="98" t="s">
        <v>573</v>
      </c>
    </row>
    <row r="83" spans="1:5" x14ac:dyDescent="0.25">
      <c r="D83" s="97" t="s">
        <v>486</v>
      </c>
      <c r="E83" s="98" t="s">
        <v>574</v>
      </c>
    </row>
    <row r="84" spans="1:5" x14ac:dyDescent="0.25">
      <c r="C84" s="100" t="s">
        <v>480</v>
      </c>
      <c r="D84" s="96" t="s">
        <v>575</v>
      </c>
    </row>
    <row r="86" spans="1:5" x14ac:dyDescent="0.25">
      <c r="A86" s="97" t="s">
        <v>576</v>
      </c>
      <c r="B86" s="96" t="s">
        <v>577</v>
      </c>
    </row>
    <row r="87" spans="1:5" x14ac:dyDescent="0.25">
      <c r="B87" s="96" t="s">
        <v>578</v>
      </c>
    </row>
    <row r="88" spans="1:5" x14ac:dyDescent="0.25">
      <c r="C88" s="100" t="s">
        <v>471</v>
      </c>
      <c r="D88" s="96" t="s">
        <v>579</v>
      </c>
    </row>
    <row r="89" spans="1:5" x14ac:dyDescent="0.25">
      <c r="C89" s="100" t="s">
        <v>473</v>
      </c>
      <c r="D89" s="96" t="s">
        <v>580</v>
      </c>
    </row>
    <row r="90" spans="1:5" x14ac:dyDescent="0.25">
      <c r="C90" s="100" t="s">
        <v>475</v>
      </c>
      <c r="D90" s="96" t="s">
        <v>581</v>
      </c>
    </row>
    <row r="91" spans="1:5" x14ac:dyDescent="0.25">
      <c r="C91" s="100" t="s">
        <v>477</v>
      </c>
      <c r="D91" s="96" t="s">
        <v>582</v>
      </c>
    </row>
    <row r="93" spans="1:5" x14ac:dyDescent="0.25">
      <c r="A93" s="97" t="s">
        <v>583</v>
      </c>
      <c r="B93" s="96" t="s">
        <v>584</v>
      </c>
    </row>
    <row r="94" spans="1:5" x14ac:dyDescent="0.25">
      <c r="B94" s="96" t="s">
        <v>585</v>
      </c>
    </row>
    <row r="95" spans="1:5" x14ac:dyDescent="0.25">
      <c r="C95" s="100" t="s">
        <v>471</v>
      </c>
      <c r="D95" s="96" t="s">
        <v>586</v>
      </c>
    </row>
    <row r="96" spans="1:5" x14ac:dyDescent="0.25">
      <c r="C96" s="100" t="s">
        <v>473</v>
      </c>
      <c r="D96" s="96" t="s">
        <v>587</v>
      </c>
    </row>
    <row r="97" spans="1:5" x14ac:dyDescent="0.25">
      <c r="D97" s="97" t="s">
        <v>485</v>
      </c>
      <c r="E97" s="98" t="s">
        <v>588</v>
      </c>
    </row>
    <row r="98" spans="1:5" x14ac:dyDescent="0.25">
      <c r="D98" s="97" t="s">
        <v>486</v>
      </c>
      <c r="E98" s="98" t="s">
        <v>589</v>
      </c>
    </row>
    <row r="100" spans="1:5" x14ac:dyDescent="0.25">
      <c r="A100" s="97" t="s">
        <v>590</v>
      </c>
      <c r="B100" s="96" t="s">
        <v>591</v>
      </c>
    </row>
    <row r="101" spans="1:5" x14ac:dyDescent="0.25">
      <c r="B101" s="97" t="s">
        <v>469</v>
      </c>
      <c r="C101" s="96" t="s">
        <v>592</v>
      </c>
    </row>
    <row r="102" spans="1:5" x14ac:dyDescent="0.25">
      <c r="C102" s="100" t="s">
        <v>471</v>
      </c>
      <c r="D102" s="96" t="s">
        <v>593</v>
      </c>
    </row>
    <row r="103" spans="1:5" x14ac:dyDescent="0.25">
      <c r="C103" s="100" t="s">
        <v>473</v>
      </c>
      <c r="D103" s="96" t="s">
        <v>594</v>
      </c>
    </row>
    <row r="104" spans="1:5" x14ac:dyDescent="0.25">
      <c r="C104" s="100" t="s">
        <v>475</v>
      </c>
      <c r="D104" s="96" t="s">
        <v>595</v>
      </c>
    </row>
    <row r="105" spans="1:5" x14ac:dyDescent="0.25">
      <c r="B105" s="97" t="s">
        <v>505</v>
      </c>
      <c r="C105" s="96" t="s">
        <v>596</v>
      </c>
    </row>
    <row r="106" spans="1:5" x14ac:dyDescent="0.25">
      <c r="C106" s="100" t="s">
        <v>471</v>
      </c>
      <c r="D106" s="96" t="s">
        <v>597</v>
      </c>
    </row>
    <row r="107" spans="1:5" x14ac:dyDescent="0.25">
      <c r="C107" s="100" t="s">
        <v>473</v>
      </c>
      <c r="D107" s="96" t="s">
        <v>598</v>
      </c>
    </row>
    <row r="108" spans="1:5" x14ac:dyDescent="0.25">
      <c r="C108" s="100" t="s">
        <v>475</v>
      </c>
      <c r="D108" s="96" t="s">
        <v>599</v>
      </c>
    </row>
    <row r="109" spans="1:5" x14ac:dyDescent="0.25">
      <c r="D109" s="97" t="s">
        <v>485</v>
      </c>
      <c r="E109" s="98" t="s">
        <v>600</v>
      </c>
    </row>
    <row r="110" spans="1:5" x14ac:dyDescent="0.25">
      <c r="D110" s="97" t="s">
        <v>486</v>
      </c>
      <c r="E110" s="98" t="s">
        <v>601</v>
      </c>
    </row>
    <row r="111" spans="1:5" x14ac:dyDescent="0.25">
      <c r="B111" s="97" t="s">
        <v>537</v>
      </c>
      <c r="C111" s="96" t="s">
        <v>602</v>
      </c>
    </row>
    <row r="112" spans="1:5" x14ac:dyDescent="0.25">
      <c r="C112" s="100" t="s">
        <v>471</v>
      </c>
      <c r="D112" s="96" t="s">
        <v>603</v>
      </c>
    </row>
    <row r="113" spans="1:4" x14ac:dyDescent="0.25">
      <c r="C113" s="100" t="s">
        <v>473</v>
      </c>
      <c r="D113" s="96" t="s">
        <v>604</v>
      </c>
    </row>
    <row r="114" spans="1:4" x14ac:dyDescent="0.25">
      <c r="C114" s="100" t="s">
        <v>475</v>
      </c>
      <c r="D114" s="96" t="s">
        <v>605</v>
      </c>
    </row>
    <row r="116" spans="1:4" x14ac:dyDescent="0.25">
      <c r="A116" s="97" t="s">
        <v>550</v>
      </c>
      <c r="B116" s="96" t="s">
        <v>606</v>
      </c>
    </row>
    <row r="117" spans="1:4" x14ac:dyDescent="0.25">
      <c r="B117" s="97" t="s">
        <v>469</v>
      </c>
      <c r="C117" s="96" t="s">
        <v>607</v>
      </c>
    </row>
    <row r="118" spans="1:4" x14ac:dyDescent="0.25">
      <c r="C118" s="100" t="s">
        <v>471</v>
      </c>
      <c r="D118" s="96" t="s">
        <v>528</v>
      </c>
    </row>
    <row r="119" spans="1:4" x14ac:dyDescent="0.25">
      <c r="C119" s="100" t="s">
        <v>473</v>
      </c>
      <c r="D119" s="96" t="s">
        <v>608</v>
      </c>
    </row>
    <row r="120" spans="1:4" x14ac:dyDescent="0.25">
      <c r="C120" s="100" t="s">
        <v>475</v>
      </c>
      <c r="D120" s="96" t="s">
        <v>609</v>
      </c>
    </row>
    <row r="121" spans="1:4" x14ac:dyDescent="0.25">
      <c r="B121" s="97" t="s">
        <v>505</v>
      </c>
      <c r="C121" s="96" t="s">
        <v>610</v>
      </c>
    </row>
    <row r="122" spans="1:4" x14ac:dyDescent="0.25">
      <c r="B122" s="97" t="s">
        <v>537</v>
      </c>
      <c r="C122" s="96" t="s">
        <v>611</v>
      </c>
    </row>
    <row r="123" spans="1:4" x14ac:dyDescent="0.25">
      <c r="C123" s="100" t="s">
        <v>471</v>
      </c>
      <c r="D123" s="96" t="s">
        <v>612</v>
      </c>
    </row>
    <row r="124" spans="1:4" x14ac:dyDescent="0.25">
      <c r="C124" s="100" t="s">
        <v>473</v>
      </c>
      <c r="D124" s="96" t="s">
        <v>613</v>
      </c>
    </row>
    <row r="125" spans="1:4" x14ac:dyDescent="0.25">
      <c r="C125" s="100" t="s">
        <v>475</v>
      </c>
      <c r="D125" s="96" t="s">
        <v>614</v>
      </c>
    </row>
    <row r="126" spans="1:4" x14ac:dyDescent="0.25">
      <c r="C126" s="100" t="s">
        <v>477</v>
      </c>
      <c r="D126" s="96" t="s">
        <v>615</v>
      </c>
    </row>
    <row r="127" spans="1:4" x14ac:dyDescent="0.25">
      <c r="C127" s="100" t="s">
        <v>479</v>
      </c>
      <c r="D127" s="96" t="s">
        <v>616</v>
      </c>
    </row>
    <row r="128" spans="1:4" x14ac:dyDescent="0.25">
      <c r="B128" s="97" t="s">
        <v>539</v>
      </c>
      <c r="C128" s="96" t="s">
        <v>617</v>
      </c>
    </row>
    <row r="130" spans="1:4" x14ac:dyDescent="0.25">
      <c r="A130" s="97" t="s">
        <v>618</v>
      </c>
      <c r="B130" s="96" t="s">
        <v>449</v>
      </c>
    </row>
    <row r="131" spans="1:4" x14ac:dyDescent="0.25">
      <c r="B131" s="97" t="s">
        <v>469</v>
      </c>
      <c r="C131" s="96" t="s">
        <v>624</v>
      </c>
    </row>
    <row r="132" spans="1:4" x14ac:dyDescent="0.25">
      <c r="B132" s="97" t="s">
        <v>505</v>
      </c>
      <c r="C132" s="96" t="s">
        <v>625</v>
      </c>
    </row>
    <row r="133" spans="1:4" x14ac:dyDescent="0.25">
      <c r="C133" s="100" t="s">
        <v>471</v>
      </c>
      <c r="D133" s="96" t="s">
        <v>626</v>
      </c>
    </row>
    <row r="134" spans="1:4" x14ac:dyDescent="0.25">
      <c r="C134" s="100" t="s">
        <v>473</v>
      </c>
      <c r="D134" s="96" t="s">
        <v>627</v>
      </c>
    </row>
    <row r="135" spans="1:4" x14ac:dyDescent="0.25">
      <c r="C135" s="100" t="s">
        <v>475</v>
      </c>
      <c r="D135" s="96" t="s">
        <v>628</v>
      </c>
    </row>
    <row r="136" spans="1:4" x14ac:dyDescent="0.25">
      <c r="C136" s="100" t="s">
        <v>477</v>
      </c>
      <c r="D136" s="96" t="s">
        <v>629</v>
      </c>
    </row>
    <row r="137" spans="1:4" x14ac:dyDescent="0.25">
      <c r="C137" s="100" t="s">
        <v>479</v>
      </c>
      <c r="D137" s="96" t="s">
        <v>630</v>
      </c>
    </row>
    <row r="138" spans="1:4" x14ac:dyDescent="0.25">
      <c r="C138" s="100" t="s">
        <v>480</v>
      </c>
      <c r="D138" s="96" t="s">
        <v>631</v>
      </c>
    </row>
    <row r="139" spans="1:4" x14ac:dyDescent="0.25">
      <c r="C139" s="100" t="s">
        <v>481</v>
      </c>
      <c r="D139" s="96" t="s">
        <v>632</v>
      </c>
    </row>
    <row r="140" spans="1:4" x14ac:dyDescent="0.25">
      <c r="C140" s="100" t="s">
        <v>489</v>
      </c>
      <c r="D140" s="96" t="s">
        <v>633</v>
      </c>
    </row>
    <row r="141" spans="1:4" x14ac:dyDescent="0.25">
      <c r="C141" s="100" t="s">
        <v>619</v>
      </c>
      <c r="D141" s="96" t="s">
        <v>634</v>
      </c>
    </row>
    <row r="142" spans="1:4" x14ac:dyDescent="0.25">
      <c r="C142" s="100" t="s">
        <v>620</v>
      </c>
      <c r="D142" s="96" t="s">
        <v>635</v>
      </c>
    </row>
    <row r="143" spans="1:4" x14ac:dyDescent="0.25">
      <c r="C143" s="100" t="s">
        <v>621</v>
      </c>
      <c r="D143" s="96" t="s">
        <v>636</v>
      </c>
    </row>
    <row r="144" spans="1:4" x14ac:dyDescent="0.25">
      <c r="C144" s="100" t="s">
        <v>622</v>
      </c>
      <c r="D144" s="96" t="s">
        <v>637</v>
      </c>
    </row>
    <row r="145" spans="2:5" x14ac:dyDescent="0.25">
      <c r="C145" s="100" t="s">
        <v>623</v>
      </c>
      <c r="D145" s="96" t="s">
        <v>638</v>
      </c>
    </row>
    <row r="146" spans="2:5" x14ac:dyDescent="0.25">
      <c r="B146" s="97" t="s">
        <v>537</v>
      </c>
      <c r="C146" s="96" t="s">
        <v>639</v>
      </c>
    </row>
    <row r="147" spans="2:5" x14ac:dyDescent="0.25">
      <c r="C147" s="100" t="s">
        <v>471</v>
      </c>
      <c r="D147" s="96" t="s">
        <v>640</v>
      </c>
    </row>
    <row r="148" spans="2:5" x14ac:dyDescent="0.25">
      <c r="C148" s="100" t="s">
        <v>473</v>
      </c>
      <c r="D148" s="96" t="s">
        <v>641</v>
      </c>
    </row>
    <row r="149" spans="2:5" x14ac:dyDescent="0.25">
      <c r="D149" s="97" t="s">
        <v>485</v>
      </c>
      <c r="E149" s="98" t="s">
        <v>649</v>
      </c>
    </row>
    <row r="150" spans="2:5" x14ac:dyDescent="0.25">
      <c r="D150" s="97" t="s">
        <v>486</v>
      </c>
      <c r="E150" s="98" t="s">
        <v>650</v>
      </c>
    </row>
    <row r="151" spans="2:5" x14ac:dyDescent="0.25">
      <c r="D151" s="97" t="s">
        <v>496</v>
      </c>
      <c r="E151" s="98" t="s">
        <v>651</v>
      </c>
    </row>
    <row r="152" spans="2:5" x14ac:dyDescent="0.25">
      <c r="D152" s="97" t="s">
        <v>499</v>
      </c>
      <c r="E152" s="98" t="s">
        <v>652</v>
      </c>
    </row>
    <row r="153" spans="2:5" x14ac:dyDescent="0.25">
      <c r="D153" s="97" t="s">
        <v>642</v>
      </c>
      <c r="E153" s="98" t="s">
        <v>630</v>
      </c>
    </row>
    <row r="154" spans="2:5" x14ac:dyDescent="0.25">
      <c r="D154" s="97" t="s">
        <v>643</v>
      </c>
      <c r="E154" s="98" t="s">
        <v>653</v>
      </c>
    </row>
    <row r="155" spans="2:5" x14ac:dyDescent="0.25">
      <c r="D155" s="97" t="s">
        <v>644</v>
      </c>
      <c r="E155" s="98" t="s">
        <v>654</v>
      </c>
    </row>
    <row r="156" spans="2:5" x14ac:dyDescent="0.25">
      <c r="D156" s="97" t="s">
        <v>645</v>
      </c>
      <c r="E156" s="98" t="s">
        <v>655</v>
      </c>
    </row>
    <row r="157" spans="2:5" x14ac:dyDescent="0.25">
      <c r="D157" s="97" t="s">
        <v>646</v>
      </c>
      <c r="E157" s="98" t="s">
        <v>656</v>
      </c>
    </row>
    <row r="158" spans="2:5" x14ac:dyDescent="0.25">
      <c r="D158" s="97" t="s">
        <v>647</v>
      </c>
      <c r="E158" s="98" t="s">
        <v>657</v>
      </c>
    </row>
    <row r="159" spans="2:5" x14ac:dyDescent="0.25">
      <c r="D159" s="97" t="s">
        <v>648</v>
      </c>
      <c r="E159" s="98" t="s">
        <v>658</v>
      </c>
    </row>
    <row r="160" spans="2:5" x14ac:dyDescent="0.25">
      <c r="B160" s="97" t="s">
        <v>539</v>
      </c>
      <c r="C160" s="96" t="s">
        <v>659</v>
      </c>
    </row>
    <row r="161" spans="1:5" x14ac:dyDescent="0.25">
      <c r="B161" s="97" t="s">
        <v>540</v>
      </c>
      <c r="C161" s="96" t="s">
        <v>660</v>
      </c>
    </row>
    <row r="162" spans="1:5" x14ac:dyDescent="0.25">
      <c r="B162" s="97" t="s">
        <v>541</v>
      </c>
      <c r="C162" s="96" t="s">
        <v>661</v>
      </c>
    </row>
    <row r="163" spans="1:5" x14ac:dyDescent="0.25">
      <c r="C163" s="100" t="s">
        <v>471</v>
      </c>
      <c r="D163" s="96" t="s">
        <v>662</v>
      </c>
    </row>
    <row r="164" spans="1:5" x14ac:dyDescent="0.25">
      <c r="C164" s="100" t="s">
        <v>473</v>
      </c>
      <c r="D164" s="96" t="s">
        <v>663</v>
      </c>
    </row>
    <row r="165" spans="1:5" x14ac:dyDescent="0.25">
      <c r="D165" s="97" t="s">
        <v>485</v>
      </c>
      <c r="E165" s="98" t="s">
        <v>664</v>
      </c>
    </row>
    <row r="166" spans="1:5" x14ac:dyDescent="0.25">
      <c r="D166" s="97" t="s">
        <v>486</v>
      </c>
      <c r="E166" s="98" t="s">
        <v>665</v>
      </c>
    </row>
    <row r="167" spans="1:5" x14ac:dyDescent="0.25">
      <c r="D167" s="97" t="s">
        <v>496</v>
      </c>
      <c r="E167" s="98" t="s">
        <v>666</v>
      </c>
    </row>
    <row r="168" spans="1:5" x14ac:dyDescent="0.25">
      <c r="B168" s="97" t="s">
        <v>542</v>
      </c>
      <c r="C168" s="96" t="s">
        <v>667</v>
      </c>
    </row>
    <row r="169" spans="1:5" x14ac:dyDescent="0.25">
      <c r="C169" s="100" t="s">
        <v>471</v>
      </c>
      <c r="D169" s="96" t="s">
        <v>668</v>
      </c>
    </row>
    <row r="170" spans="1:5" x14ac:dyDescent="0.25">
      <c r="C170" s="100" t="s">
        <v>473</v>
      </c>
      <c r="D170" s="96" t="s">
        <v>669</v>
      </c>
    </row>
    <row r="171" spans="1:5" x14ac:dyDescent="0.25">
      <c r="B171" s="97" t="s">
        <v>670</v>
      </c>
      <c r="C171" s="96" t="s">
        <v>673</v>
      </c>
    </row>
    <row r="172" spans="1:5" x14ac:dyDescent="0.25">
      <c r="B172" s="97" t="s">
        <v>492</v>
      </c>
      <c r="C172" s="96" t="s">
        <v>674</v>
      </c>
    </row>
    <row r="173" spans="1:5" x14ac:dyDescent="0.25">
      <c r="B173" s="97" t="s">
        <v>671</v>
      </c>
      <c r="C173" s="96" t="s">
        <v>675</v>
      </c>
    </row>
    <row r="174" spans="1:5" x14ac:dyDescent="0.25">
      <c r="B174" s="97" t="s">
        <v>672</v>
      </c>
      <c r="C174" s="96" t="s">
        <v>676</v>
      </c>
    </row>
    <row r="176" spans="1:5" x14ac:dyDescent="0.25">
      <c r="A176" s="97" t="s">
        <v>677</v>
      </c>
      <c r="B176" s="96" t="s">
        <v>678</v>
      </c>
    </row>
    <row r="177" spans="1:4" x14ac:dyDescent="0.25">
      <c r="B177" s="96" t="s">
        <v>679</v>
      </c>
    </row>
    <row r="178" spans="1:4" x14ac:dyDescent="0.25">
      <c r="C178" s="100" t="s">
        <v>471</v>
      </c>
      <c r="D178" s="96" t="s">
        <v>680</v>
      </c>
    </row>
    <row r="179" spans="1:4" x14ac:dyDescent="0.25">
      <c r="C179" s="100" t="s">
        <v>473</v>
      </c>
      <c r="D179" s="96" t="s">
        <v>681</v>
      </c>
    </row>
    <row r="180" spans="1:4" x14ac:dyDescent="0.25">
      <c r="C180" s="100" t="s">
        <v>475</v>
      </c>
      <c r="D180" s="96" t="s">
        <v>682</v>
      </c>
    </row>
    <row r="182" spans="1:4" x14ac:dyDescent="0.25">
      <c r="A182" s="97" t="s">
        <v>683</v>
      </c>
      <c r="B182" s="96" t="s">
        <v>684</v>
      </c>
    </row>
    <row r="183" spans="1:4" x14ac:dyDescent="0.25">
      <c r="B183" s="97" t="s">
        <v>469</v>
      </c>
      <c r="C183" s="96" t="s">
        <v>685</v>
      </c>
    </row>
    <row r="184" spans="1:4" x14ac:dyDescent="0.25">
      <c r="B184" s="97" t="s">
        <v>505</v>
      </c>
      <c r="C184" s="96" t="s">
        <v>686</v>
      </c>
    </row>
    <row r="185" spans="1:4" x14ac:dyDescent="0.25">
      <c r="B185" s="97" t="s">
        <v>537</v>
      </c>
      <c r="C185" s="96" t="s">
        <v>687</v>
      </c>
    </row>
    <row r="186" spans="1:4" x14ac:dyDescent="0.25">
      <c r="B186" s="97" t="s">
        <v>539</v>
      </c>
      <c r="C186" s="96" t="s">
        <v>688</v>
      </c>
    </row>
    <row r="188" spans="1:4" x14ac:dyDescent="0.25">
      <c r="A188" s="97" t="s">
        <v>689</v>
      </c>
      <c r="B188" s="96" t="s">
        <v>690</v>
      </c>
    </row>
    <row r="189" spans="1:4" x14ac:dyDescent="0.25">
      <c r="B189" s="97" t="s">
        <v>469</v>
      </c>
      <c r="C189" s="96" t="s">
        <v>691</v>
      </c>
    </row>
    <row r="190" spans="1:4" x14ac:dyDescent="0.25">
      <c r="B190" s="97" t="s">
        <v>505</v>
      </c>
      <c r="C190" s="96" t="s">
        <v>692</v>
      </c>
    </row>
    <row r="192" spans="1:4" x14ac:dyDescent="0.25">
      <c r="A192" s="97" t="s">
        <v>693</v>
      </c>
      <c r="B192" s="96" t="s">
        <v>694</v>
      </c>
    </row>
    <row r="193" spans="1:5" x14ac:dyDescent="0.25">
      <c r="B193" s="97" t="s">
        <v>469</v>
      </c>
      <c r="C193" s="96" t="s">
        <v>695</v>
      </c>
    </row>
    <row r="194" spans="1:5" x14ac:dyDescent="0.25">
      <c r="B194" s="97" t="s">
        <v>505</v>
      </c>
      <c r="C194" s="96" t="s">
        <v>696</v>
      </c>
    </row>
    <row r="196" spans="1:5" x14ac:dyDescent="0.25">
      <c r="A196" s="97" t="s">
        <v>697</v>
      </c>
      <c r="B196" s="97" t="s">
        <v>698</v>
      </c>
    </row>
    <row r="197" spans="1:5" x14ac:dyDescent="0.25">
      <c r="B197" s="97" t="s">
        <v>469</v>
      </c>
      <c r="C197" s="96" t="s">
        <v>699</v>
      </c>
    </row>
    <row r="198" spans="1:5" x14ac:dyDescent="0.25">
      <c r="C198" s="100" t="s">
        <v>471</v>
      </c>
      <c r="D198" s="96" t="s">
        <v>700</v>
      </c>
    </row>
    <row r="199" spans="1:5" x14ac:dyDescent="0.25">
      <c r="C199" s="100" t="s">
        <v>473</v>
      </c>
      <c r="D199" s="96" t="s">
        <v>701</v>
      </c>
    </row>
    <row r="200" spans="1:5" x14ac:dyDescent="0.25">
      <c r="B200" s="97" t="s">
        <v>505</v>
      </c>
      <c r="C200" s="96" t="s">
        <v>702</v>
      </c>
    </row>
    <row r="201" spans="1:5" x14ac:dyDescent="0.25">
      <c r="B201" s="97" t="s">
        <v>537</v>
      </c>
      <c r="C201" s="96" t="s">
        <v>703</v>
      </c>
    </row>
    <row r="202" spans="1:5" x14ac:dyDescent="0.25">
      <c r="B202" s="97" t="s">
        <v>539</v>
      </c>
      <c r="C202" s="96" t="s">
        <v>704</v>
      </c>
    </row>
    <row r="203" spans="1:5" x14ac:dyDescent="0.25">
      <c r="C203" s="100" t="s">
        <v>471</v>
      </c>
      <c r="D203" s="96" t="s">
        <v>705</v>
      </c>
    </row>
    <row r="204" spans="1:5" x14ac:dyDescent="0.25">
      <c r="C204" s="100" t="s">
        <v>473</v>
      </c>
      <c r="D204" s="96" t="s">
        <v>706</v>
      </c>
    </row>
    <row r="205" spans="1:5" x14ac:dyDescent="0.25">
      <c r="B205" s="97" t="s">
        <v>540</v>
      </c>
      <c r="C205" s="96" t="s">
        <v>707</v>
      </c>
    </row>
    <row r="206" spans="1:5" x14ac:dyDescent="0.25">
      <c r="C206" s="100" t="s">
        <v>471</v>
      </c>
      <c r="D206" s="96" t="s">
        <v>708</v>
      </c>
    </row>
    <row r="207" spans="1:5" x14ac:dyDescent="0.25">
      <c r="C207" s="100" t="s">
        <v>473</v>
      </c>
      <c r="D207" s="96" t="s">
        <v>709</v>
      </c>
    </row>
    <row r="208" spans="1:5" x14ac:dyDescent="0.25">
      <c r="D208" s="97" t="s">
        <v>485</v>
      </c>
      <c r="E208" s="98" t="s">
        <v>710</v>
      </c>
    </row>
    <row r="209" spans="1:5" x14ac:dyDescent="0.25">
      <c r="D209" s="97" t="s">
        <v>486</v>
      </c>
      <c r="E209" s="98" t="s">
        <v>711</v>
      </c>
    </row>
    <row r="210" spans="1:5" x14ac:dyDescent="0.25">
      <c r="C210" s="100" t="s">
        <v>475</v>
      </c>
      <c r="D210" s="96" t="s">
        <v>712</v>
      </c>
    </row>
    <row r="211" spans="1:5" x14ac:dyDescent="0.25">
      <c r="B211" s="97" t="s">
        <v>541</v>
      </c>
      <c r="C211" s="96" t="s">
        <v>713</v>
      </c>
    </row>
    <row r="212" spans="1:5" x14ac:dyDescent="0.25">
      <c r="C212" s="100" t="s">
        <v>471</v>
      </c>
      <c r="D212" s="96" t="s">
        <v>714</v>
      </c>
    </row>
    <row r="213" spans="1:5" x14ac:dyDescent="0.25">
      <c r="C213" s="100" t="s">
        <v>473</v>
      </c>
      <c r="D213" s="96" t="s">
        <v>715</v>
      </c>
    </row>
    <row r="214" spans="1:5" ht="15" x14ac:dyDescent="0.25">
      <c r="B214" s="97" t="s">
        <v>542</v>
      </c>
      <c r="C214" s="99" t="s">
        <v>716</v>
      </c>
    </row>
    <row r="216" spans="1:5" x14ac:dyDescent="0.25">
      <c r="A216" s="97" t="s">
        <v>717</v>
      </c>
      <c r="B216" s="96" t="s">
        <v>718</v>
      </c>
    </row>
    <row r="217" spans="1:5" x14ac:dyDescent="0.25">
      <c r="B217" s="97" t="s">
        <v>469</v>
      </c>
      <c r="C217" s="96" t="s">
        <v>534</v>
      </c>
    </row>
    <row r="218" spans="1:5" x14ac:dyDescent="0.25">
      <c r="C218" s="100" t="s">
        <v>471</v>
      </c>
      <c r="D218" s="96" t="s">
        <v>719</v>
      </c>
    </row>
    <row r="219" spans="1:5" x14ac:dyDescent="0.25">
      <c r="C219" s="100" t="s">
        <v>473</v>
      </c>
      <c r="D219" s="96" t="s">
        <v>720</v>
      </c>
    </row>
    <row r="220" spans="1:5" x14ac:dyDescent="0.25">
      <c r="B220" s="97" t="s">
        <v>505</v>
      </c>
      <c r="C220" s="96" t="s">
        <v>721</v>
      </c>
    </row>
    <row r="222" spans="1:5" x14ac:dyDescent="0.25">
      <c r="A222" s="97" t="s">
        <v>722</v>
      </c>
      <c r="B222" s="96" t="s">
        <v>723</v>
      </c>
    </row>
    <row r="223" spans="1:5" x14ac:dyDescent="0.25">
      <c r="B223" s="97" t="s">
        <v>469</v>
      </c>
      <c r="C223" s="96" t="s">
        <v>534</v>
      </c>
    </row>
    <row r="224" spans="1:5" x14ac:dyDescent="0.25">
      <c r="C224" s="100" t="s">
        <v>471</v>
      </c>
      <c r="D224" s="96" t="s">
        <v>724</v>
      </c>
    </row>
    <row r="225" spans="2:6" x14ac:dyDescent="0.25">
      <c r="D225" s="97" t="s">
        <v>485</v>
      </c>
      <c r="E225" s="98" t="s">
        <v>725</v>
      </c>
    </row>
    <row r="226" spans="2:6" x14ac:dyDescent="0.25">
      <c r="E226" s="97" t="s">
        <v>492</v>
      </c>
      <c r="F226" s="98" t="s">
        <v>726</v>
      </c>
    </row>
    <row r="227" spans="2:6" x14ac:dyDescent="0.25">
      <c r="E227" s="97" t="s">
        <v>494</v>
      </c>
      <c r="F227" s="98" t="s">
        <v>727</v>
      </c>
    </row>
    <row r="228" spans="2:6" x14ac:dyDescent="0.25">
      <c r="E228" s="97" t="s">
        <v>501</v>
      </c>
      <c r="F228" s="98" t="s">
        <v>728</v>
      </c>
    </row>
    <row r="229" spans="2:6" x14ac:dyDescent="0.25">
      <c r="D229" s="97" t="s">
        <v>486</v>
      </c>
      <c r="E229" s="98" t="s">
        <v>729</v>
      </c>
    </row>
    <row r="230" spans="2:6" x14ac:dyDescent="0.25">
      <c r="C230" s="100" t="s">
        <v>473</v>
      </c>
      <c r="D230" s="96" t="s">
        <v>730</v>
      </c>
    </row>
    <row r="231" spans="2:6" x14ac:dyDescent="0.25">
      <c r="C231" s="100" t="s">
        <v>475</v>
      </c>
      <c r="D231" s="96" t="s">
        <v>731</v>
      </c>
    </row>
    <row r="232" spans="2:6" x14ac:dyDescent="0.25">
      <c r="B232" s="97" t="s">
        <v>505</v>
      </c>
      <c r="C232" s="96" t="s">
        <v>732</v>
      </c>
    </row>
    <row r="233" spans="2:6" x14ac:dyDescent="0.25">
      <c r="C233" s="100" t="s">
        <v>471</v>
      </c>
      <c r="D233" s="96" t="s">
        <v>733</v>
      </c>
    </row>
    <row r="234" spans="2:6" x14ac:dyDescent="0.25">
      <c r="C234" s="100" t="s">
        <v>473</v>
      </c>
      <c r="D234" s="96" t="s">
        <v>734</v>
      </c>
    </row>
    <row r="235" spans="2:6" x14ac:dyDescent="0.25">
      <c r="B235" s="97" t="s">
        <v>537</v>
      </c>
      <c r="C235" s="96" t="s">
        <v>735</v>
      </c>
    </row>
    <row r="236" spans="2:6" x14ac:dyDescent="0.25">
      <c r="B236" s="97" t="s">
        <v>539</v>
      </c>
      <c r="C236" s="96" t="s">
        <v>736</v>
      </c>
    </row>
    <row r="237" spans="2:6" x14ac:dyDescent="0.25">
      <c r="B237" s="97" t="s">
        <v>540</v>
      </c>
      <c r="C237" s="96" t="s">
        <v>737</v>
      </c>
    </row>
    <row r="238" spans="2:6" x14ac:dyDescent="0.25">
      <c r="B238" s="97" t="s">
        <v>541</v>
      </c>
      <c r="C238" s="96" t="s">
        <v>738</v>
      </c>
    </row>
    <row r="239" spans="2:6" x14ac:dyDescent="0.25">
      <c r="B239" s="97" t="s">
        <v>542</v>
      </c>
      <c r="C239" s="96" t="s">
        <v>739</v>
      </c>
    </row>
    <row r="240" spans="2:6" x14ac:dyDescent="0.25">
      <c r="B240" s="97" t="s">
        <v>670</v>
      </c>
      <c r="C240" s="96" t="s">
        <v>740</v>
      </c>
    </row>
    <row r="241" spans="1:4" x14ac:dyDescent="0.25">
      <c r="C241" s="100" t="s">
        <v>471</v>
      </c>
      <c r="D241" s="96" t="s">
        <v>741</v>
      </c>
    </row>
    <row r="242" spans="1:4" x14ac:dyDescent="0.25">
      <c r="C242" s="100" t="s">
        <v>473</v>
      </c>
      <c r="D242" s="96" t="s">
        <v>742</v>
      </c>
    </row>
    <row r="243" spans="1:4" x14ac:dyDescent="0.25">
      <c r="C243" s="100" t="s">
        <v>475</v>
      </c>
      <c r="D243" s="96" t="s">
        <v>743</v>
      </c>
    </row>
    <row r="244" spans="1:4" x14ac:dyDescent="0.25">
      <c r="C244" s="100" t="s">
        <v>477</v>
      </c>
      <c r="D244" s="96" t="s">
        <v>744</v>
      </c>
    </row>
    <row r="246" spans="1:4" x14ac:dyDescent="0.25">
      <c r="A246" s="97">
        <v>2256.0207</v>
      </c>
      <c r="B246" s="96" t="s">
        <v>745</v>
      </c>
    </row>
    <row r="247" spans="1:4" x14ac:dyDescent="0.25">
      <c r="B247" s="97" t="s">
        <v>469</v>
      </c>
      <c r="C247" s="96" t="s">
        <v>746</v>
      </c>
    </row>
    <row r="248" spans="1:4" x14ac:dyDescent="0.25">
      <c r="B248" s="97" t="s">
        <v>505</v>
      </c>
      <c r="C248" s="96" t="s">
        <v>747</v>
      </c>
    </row>
  </sheetData>
  <pageMargins left="0.7" right="0.7" top="0.75" bottom="0.75" header="0.3" footer="0.3"/>
  <ignoredErrors>
    <ignoredError sqref="C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85710-6E3D-4235-885D-9F1F1311FA03}">
  <dimension ref="A1:C64"/>
  <sheetViews>
    <sheetView workbookViewId="0">
      <selection activeCell="A2" sqref="A2"/>
    </sheetView>
  </sheetViews>
  <sheetFormatPr defaultRowHeight="15" x14ac:dyDescent="0.25"/>
  <cols>
    <col min="1" max="1" width="33.7109375" style="106" customWidth="1"/>
    <col min="2" max="2" width="28.42578125" style="106" customWidth="1"/>
    <col min="3" max="3" width="53.85546875" style="106" customWidth="1"/>
  </cols>
  <sheetData>
    <row r="1" spans="1:3" ht="23.25" x14ac:dyDescent="0.35">
      <c r="A1" s="5" t="s">
        <v>1015</v>
      </c>
    </row>
    <row r="4" spans="1:3" x14ac:dyDescent="0.25">
      <c r="A4" s="106" t="s">
        <v>960</v>
      </c>
    </row>
    <row r="5" spans="1:3" ht="30" x14ac:dyDescent="0.25">
      <c r="B5" s="106" t="s">
        <v>997</v>
      </c>
    </row>
    <row r="6" spans="1:3" x14ac:dyDescent="0.25">
      <c r="B6" s="106" t="s">
        <v>961</v>
      </c>
    </row>
    <row r="7" spans="1:3" ht="30" x14ac:dyDescent="0.25">
      <c r="B7" s="106" t="s">
        <v>998</v>
      </c>
    </row>
    <row r="9" spans="1:3" x14ac:dyDescent="0.25">
      <c r="A9" s="106" t="s">
        <v>1000</v>
      </c>
    </row>
    <row r="10" spans="1:3" ht="30" x14ac:dyDescent="0.25">
      <c r="B10" s="106" t="s">
        <v>1004</v>
      </c>
      <c r="C10" s="106" t="s">
        <v>1006</v>
      </c>
    </row>
    <row r="11" spans="1:3" ht="30" x14ac:dyDescent="0.25">
      <c r="B11" s="106" t="s">
        <v>1008</v>
      </c>
      <c r="C11" s="106" t="s">
        <v>1007</v>
      </c>
    </row>
    <row r="13" spans="1:3" x14ac:dyDescent="0.25">
      <c r="A13" s="106" t="s">
        <v>962</v>
      </c>
    </row>
    <row r="14" spans="1:3" x14ac:dyDescent="0.25">
      <c r="A14" s="106" t="s">
        <v>963</v>
      </c>
    </row>
    <row r="15" spans="1:3" x14ac:dyDescent="0.25">
      <c r="A15" s="106" t="s">
        <v>1005</v>
      </c>
    </row>
    <row r="17" spans="1:3" ht="30" x14ac:dyDescent="0.25">
      <c r="A17" s="106" t="s">
        <v>999</v>
      </c>
    </row>
    <row r="18" spans="1:3" x14ac:dyDescent="0.25">
      <c r="B18" s="106" t="s">
        <v>964</v>
      </c>
    </row>
    <row r="19" spans="1:3" x14ac:dyDescent="0.25">
      <c r="B19" s="106" t="s">
        <v>965</v>
      </c>
    </row>
    <row r="20" spans="1:3" x14ac:dyDescent="0.25">
      <c r="B20" s="106" t="s">
        <v>966</v>
      </c>
    </row>
    <row r="21" spans="1:3" x14ac:dyDescent="0.25">
      <c r="B21" s="106" t="s">
        <v>967</v>
      </c>
    </row>
    <row r="22" spans="1:3" x14ac:dyDescent="0.25">
      <c r="C22" s="106" t="s">
        <v>968</v>
      </c>
    </row>
    <row r="23" spans="1:3" x14ac:dyDescent="0.25">
      <c r="C23" s="106" t="s">
        <v>969</v>
      </c>
    </row>
    <row r="24" spans="1:3" ht="30" x14ac:dyDescent="0.25">
      <c r="C24" s="106" t="s">
        <v>970</v>
      </c>
    </row>
    <row r="25" spans="1:3" x14ac:dyDescent="0.25">
      <c r="B25" s="106" t="s">
        <v>971</v>
      </c>
      <c r="C25" s="106" t="s">
        <v>1009</v>
      </c>
    </row>
    <row r="26" spans="1:3" x14ac:dyDescent="0.25">
      <c r="B26" s="106" t="s">
        <v>972</v>
      </c>
      <c r="C26" s="106" t="s">
        <v>1010</v>
      </c>
    </row>
    <row r="27" spans="1:3" x14ac:dyDescent="0.25">
      <c r="A27" s="106" t="s">
        <v>981</v>
      </c>
    </row>
    <row r="28" spans="1:3" x14ac:dyDescent="0.25">
      <c r="B28" s="106" t="s">
        <v>982</v>
      </c>
    </row>
    <row r="29" spans="1:3" x14ac:dyDescent="0.25">
      <c r="B29" s="106" t="s">
        <v>983</v>
      </c>
    </row>
    <row r="30" spans="1:3" x14ac:dyDescent="0.25">
      <c r="B30" s="106" t="s">
        <v>984</v>
      </c>
    </row>
    <row r="31" spans="1:3" x14ac:dyDescent="0.25">
      <c r="B31" s="106" t="s">
        <v>985</v>
      </c>
    </row>
    <row r="33" spans="1:3" ht="30" x14ac:dyDescent="0.25">
      <c r="A33" s="106" t="s">
        <v>973</v>
      </c>
      <c r="C33" s="106" t="s">
        <v>1011</v>
      </c>
    </row>
    <row r="34" spans="1:3" ht="30" x14ac:dyDescent="0.25">
      <c r="B34" s="106" t="s">
        <v>974</v>
      </c>
    </row>
    <row r="35" spans="1:3" x14ac:dyDescent="0.25">
      <c r="B35" s="106" t="s">
        <v>975</v>
      </c>
    </row>
    <row r="36" spans="1:3" ht="45" x14ac:dyDescent="0.25">
      <c r="B36" s="106" t="s">
        <v>976</v>
      </c>
    </row>
    <row r="38" spans="1:3" x14ac:dyDescent="0.25">
      <c r="A38" s="106" t="s">
        <v>977</v>
      </c>
    </row>
    <row r="39" spans="1:3" x14ac:dyDescent="0.25">
      <c r="B39" s="106" t="s">
        <v>978</v>
      </c>
    </row>
    <row r="40" spans="1:3" x14ac:dyDescent="0.25">
      <c r="B40" s="106" t="s">
        <v>979</v>
      </c>
    </row>
    <row r="41" spans="1:3" ht="30" x14ac:dyDescent="0.25">
      <c r="B41" s="106" t="s">
        <v>980</v>
      </c>
    </row>
    <row r="43" spans="1:3" x14ac:dyDescent="0.25">
      <c r="A43" s="106" t="s">
        <v>928</v>
      </c>
    </row>
    <row r="44" spans="1:3" x14ac:dyDescent="0.25">
      <c r="B44" s="106" t="s">
        <v>988</v>
      </c>
    </row>
    <row r="45" spans="1:3" x14ac:dyDescent="0.25">
      <c r="C45" s="106" t="s">
        <v>986</v>
      </c>
    </row>
    <row r="46" spans="1:3" x14ac:dyDescent="0.25">
      <c r="C46" s="106" t="s">
        <v>987</v>
      </c>
    </row>
    <row r="47" spans="1:3" x14ac:dyDescent="0.25">
      <c r="B47" s="106" t="s">
        <v>989</v>
      </c>
    </row>
    <row r="49" spans="1:3" x14ac:dyDescent="0.25">
      <c r="A49" s="106" t="s">
        <v>924</v>
      </c>
      <c r="C49" s="106" t="s">
        <v>1012</v>
      </c>
    </row>
    <row r="51" spans="1:3" x14ac:dyDescent="0.25">
      <c r="A51" s="106" t="s">
        <v>990</v>
      </c>
    </row>
    <row r="52" spans="1:3" x14ac:dyDescent="0.25">
      <c r="B52" s="106" t="s">
        <v>991</v>
      </c>
    </row>
    <row r="53" spans="1:3" x14ac:dyDescent="0.25">
      <c r="B53" s="106" t="s">
        <v>992</v>
      </c>
    </row>
    <row r="54" spans="1:3" x14ac:dyDescent="0.25">
      <c r="B54" s="106" t="s">
        <v>993</v>
      </c>
    </row>
    <row r="56" spans="1:3" ht="30" x14ac:dyDescent="0.25">
      <c r="A56" s="106" t="s">
        <v>994</v>
      </c>
    </row>
    <row r="58" spans="1:3" ht="30" x14ac:dyDescent="0.25">
      <c r="A58" s="106" t="s">
        <v>995</v>
      </c>
    </row>
    <row r="60" spans="1:3" ht="30" x14ac:dyDescent="0.25">
      <c r="A60" s="106" t="s">
        <v>756</v>
      </c>
      <c r="C60" s="106" t="s">
        <v>1014</v>
      </c>
    </row>
    <row r="62" spans="1:3" x14ac:dyDescent="0.25">
      <c r="A62" s="106" t="s">
        <v>996</v>
      </c>
    </row>
    <row r="64" spans="1:3" ht="30" x14ac:dyDescent="0.25">
      <c r="A64" s="106" t="s">
        <v>1001</v>
      </c>
      <c r="C64" s="106" t="s">
        <v>1013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CCA5-C583-49B0-8F0D-8D021ABB05B1}">
  <sheetPr>
    <tabColor rgb="FFFFFF00"/>
  </sheetPr>
  <dimension ref="A1:C23"/>
  <sheetViews>
    <sheetView workbookViewId="0"/>
  </sheetViews>
  <sheetFormatPr defaultRowHeight="15" x14ac:dyDescent="0.25"/>
  <cols>
    <col min="1" max="1" width="27.85546875" style="8" bestFit="1" customWidth="1"/>
    <col min="2" max="2" width="76.28515625" style="23" customWidth="1"/>
    <col min="3" max="3" width="65.42578125" style="21" customWidth="1"/>
  </cols>
  <sheetData>
    <row r="1" spans="1:3" ht="23.25" x14ac:dyDescent="0.35">
      <c r="A1" s="5" t="s">
        <v>423</v>
      </c>
      <c r="B1" s="9"/>
    </row>
    <row r="3" spans="1:3" ht="60" x14ac:dyDescent="0.25">
      <c r="A3" s="22" t="s">
        <v>108</v>
      </c>
      <c r="B3" s="23" t="s">
        <v>91</v>
      </c>
      <c r="C3" s="21" t="s">
        <v>116</v>
      </c>
    </row>
    <row r="4" spans="1:3" ht="30" x14ac:dyDescent="0.25">
      <c r="B4" s="23" t="s">
        <v>88</v>
      </c>
    </row>
    <row r="5" spans="1:3" ht="30" x14ac:dyDescent="0.25">
      <c r="B5" s="23" t="s">
        <v>89</v>
      </c>
    </row>
    <row r="6" spans="1:3" ht="30" x14ac:dyDescent="0.25">
      <c r="B6" s="23" t="s">
        <v>90</v>
      </c>
    </row>
    <row r="8" spans="1:3" ht="45" x14ac:dyDescent="0.25">
      <c r="A8" s="22" t="s">
        <v>106</v>
      </c>
      <c r="B8" s="23" t="s">
        <v>107</v>
      </c>
      <c r="C8" s="21" t="s">
        <v>115</v>
      </c>
    </row>
    <row r="10" spans="1:3" ht="120" x14ac:dyDescent="0.25">
      <c r="A10" s="22" t="s">
        <v>109</v>
      </c>
      <c r="B10" s="23" t="s">
        <v>92</v>
      </c>
      <c r="C10" s="21" t="s">
        <v>114</v>
      </c>
    </row>
    <row r="12" spans="1:3" ht="120" x14ac:dyDescent="0.25">
      <c r="A12" s="22" t="s">
        <v>93</v>
      </c>
      <c r="B12" s="23" t="s">
        <v>94</v>
      </c>
      <c r="C12" s="21" t="s">
        <v>111</v>
      </c>
    </row>
    <row r="13" spans="1:3" ht="45" x14ac:dyDescent="0.25">
      <c r="B13" s="23" t="s">
        <v>95</v>
      </c>
    </row>
    <row r="14" spans="1:3" ht="60" x14ac:dyDescent="0.25">
      <c r="B14" s="23" t="s">
        <v>96</v>
      </c>
    </row>
    <row r="16" spans="1:3" ht="75" x14ac:dyDescent="0.25">
      <c r="A16" s="22" t="s">
        <v>97</v>
      </c>
      <c r="B16" s="23" t="s">
        <v>98</v>
      </c>
      <c r="C16" s="21" t="s">
        <v>112</v>
      </c>
    </row>
    <row r="18" spans="1:3" ht="75" x14ac:dyDescent="0.25">
      <c r="A18" s="22" t="s">
        <v>99</v>
      </c>
      <c r="B18" s="23" t="s">
        <v>100</v>
      </c>
      <c r="C18" s="21" t="s">
        <v>110</v>
      </c>
    </row>
    <row r="20" spans="1:3" ht="75" x14ac:dyDescent="0.25">
      <c r="A20" s="22" t="s">
        <v>101</v>
      </c>
      <c r="B20" s="23" t="s">
        <v>102</v>
      </c>
      <c r="C20" s="21" t="s">
        <v>117</v>
      </c>
    </row>
    <row r="21" spans="1:3" ht="45" x14ac:dyDescent="0.25">
      <c r="B21" s="23" t="s">
        <v>103</v>
      </c>
    </row>
    <row r="23" spans="1:3" ht="75" x14ac:dyDescent="0.25">
      <c r="A23" s="22" t="s">
        <v>104</v>
      </c>
      <c r="B23" s="23" t="s">
        <v>105</v>
      </c>
      <c r="C23" s="21"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C733-5F1A-4DAD-979E-B18575C2B912}">
  <sheetPr>
    <tabColor theme="5" tint="0.39997558519241921"/>
  </sheetPr>
  <dimension ref="A1:U41"/>
  <sheetViews>
    <sheetView workbookViewId="0"/>
  </sheetViews>
  <sheetFormatPr defaultRowHeight="15" x14ac:dyDescent="0.25"/>
  <cols>
    <col min="1" max="1" width="9.140625" style="2"/>
    <col min="2" max="2" width="22.5703125" style="2" customWidth="1"/>
    <col min="3" max="6" width="15.7109375" style="2" customWidth="1"/>
    <col min="7" max="10" width="9.140625" style="2"/>
    <col min="11" max="11" width="27.28515625" style="2" customWidth="1"/>
    <col min="12" max="12" width="17.85546875" style="2" customWidth="1"/>
    <col min="13" max="13" width="19.5703125" style="2" customWidth="1"/>
    <col min="14" max="14" width="9.140625" style="2"/>
    <col min="15" max="15" width="11.5703125" style="2" bestFit="1" customWidth="1"/>
    <col min="16" max="16384" width="9.140625" style="2"/>
  </cols>
  <sheetData>
    <row r="1" spans="1:21" ht="23.25" x14ac:dyDescent="0.35">
      <c r="A1" s="5" t="s">
        <v>424</v>
      </c>
      <c r="K1" s="5" t="s">
        <v>448</v>
      </c>
    </row>
    <row r="2" spans="1:21" x14ac:dyDescent="0.25">
      <c r="A2" s="82" t="s">
        <v>425</v>
      </c>
      <c r="B2" s="76"/>
      <c r="C2" s="76"/>
      <c r="D2" s="76"/>
      <c r="E2" s="68"/>
      <c r="K2" s="75" t="s">
        <v>445</v>
      </c>
      <c r="L2" s="79">
        <v>10000</v>
      </c>
    </row>
    <row r="3" spans="1:21" x14ac:dyDescent="0.25">
      <c r="A3" s="80"/>
      <c r="E3" s="70"/>
      <c r="K3" s="80" t="s">
        <v>34</v>
      </c>
      <c r="L3" s="81">
        <v>0.05</v>
      </c>
    </row>
    <row r="4" spans="1:21" ht="15.75" thickBot="1" x14ac:dyDescent="0.3">
      <c r="A4" s="80"/>
      <c r="B4" s="61" t="s">
        <v>426</v>
      </c>
      <c r="C4" s="61" t="s">
        <v>427</v>
      </c>
      <c r="D4" s="61" t="s">
        <v>428</v>
      </c>
      <c r="E4" s="83" t="s">
        <v>429</v>
      </c>
      <c r="K4" s="80" t="s">
        <v>446</v>
      </c>
      <c r="L4" s="70">
        <v>12</v>
      </c>
    </row>
    <row r="5" spans="1:21" x14ac:dyDescent="0.25">
      <c r="A5" s="80" t="s">
        <v>430</v>
      </c>
      <c r="B5" s="84">
        <v>500000</v>
      </c>
      <c r="C5" s="85">
        <v>5.0938999999999998E-2</v>
      </c>
      <c r="D5" s="86">
        <f>(B5/$B$8)</f>
        <v>0.36363636363636365</v>
      </c>
      <c r="E5" s="87">
        <f>(C5*D5)</f>
        <v>1.8523272727272728E-2</v>
      </c>
      <c r="K5" s="80" t="s">
        <v>447</v>
      </c>
      <c r="L5" s="70">
        <v>1</v>
      </c>
    </row>
    <row r="6" spans="1:21" x14ac:dyDescent="0.25">
      <c r="A6" s="80" t="s">
        <v>431</v>
      </c>
      <c r="B6" s="84">
        <v>750000</v>
      </c>
      <c r="C6" s="85">
        <v>5.0717999999999999E-2</v>
      </c>
      <c r="D6" s="86">
        <f>(B6/$B$8)</f>
        <v>0.54545454545454541</v>
      </c>
      <c r="E6" s="87">
        <f t="shared" ref="E6:E8" si="0">(C6*D6)</f>
        <v>2.7664363636363633E-2</v>
      </c>
      <c r="K6" s="77"/>
      <c r="L6" s="65">
        <f>(L2*(1+L3/L4)^(L4*L5))</f>
        <v>10511.618978817334</v>
      </c>
    </row>
    <row r="7" spans="1:21" ht="15.75" thickBot="1" x14ac:dyDescent="0.3">
      <c r="A7" s="80" t="s">
        <v>432</v>
      </c>
      <c r="B7" s="62">
        <v>125000</v>
      </c>
      <c r="C7" s="63">
        <v>5.3031000000000002E-2</v>
      </c>
      <c r="D7" s="64">
        <f>(B7/$B$8)</f>
        <v>9.0909090909090912E-2</v>
      </c>
      <c r="E7" s="88">
        <f t="shared" si="0"/>
        <v>4.8210000000000006E-3</v>
      </c>
    </row>
    <row r="8" spans="1:21" x14ac:dyDescent="0.25">
      <c r="A8" s="77"/>
      <c r="B8" s="89">
        <f>SUM(B5:B7)</f>
        <v>1375000</v>
      </c>
      <c r="C8" s="90">
        <f>AVERAGE(C5:C7)</f>
        <v>5.1562666666666666E-2</v>
      </c>
      <c r="D8" s="91">
        <f>(B8/$B$8)</f>
        <v>1</v>
      </c>
      <c r="E8" s="92">
        <f t="shared" si="0"/>
        <v>5.1562666666666666E-2</v>
      </c>
    </row>
    <row r="9" spans="1:21" ht="23.25" x14ac:dyDescent="0.35">
      <c r="K9" s="5" t="s">
        <v>449</v>
      </c>
    </row>
    <row r="10" spans="1:21" x14ac:dyDescent="0.25">
      <c r="K10" s="75" t="s">
        <v>450</v>
      </c>
      <c r="L10" s="76"/>
      <c r="M10" s="68"/>
    </row>
    <row r="11" spans="1:21" ht="23.25" x14ac:dyDescent="0.35">
      <c r="A11" s="5" t="s">
        <v>433</v>
      </c>
      <c r="K11" s="77" t="s">
        <v>451</v>
      </c>
      <c r="L11" s="78"/>
      <c r="M11" s="74"/>
    </row>
    <row r="12" spans="1:21" x14ac:dyDescent="0.25">
      <c r="A12" s="82" t="s">
        <v>434</v>
      </c>
      <c r="B12" s="76"/>
      <c r="C12" s="76"/>
      <c r="D12" s="76"/>
      <c r="E12" s="68"/>
    </row>
    <row r="13" spans="1:21" ht="15.75" thickBot="1" x14ac:dyDescent="0.3">
      <c r="A13" s="80"/>
      <c r="B13" s="61" t="s">
        <v>435</v>
      </c>
      <c r="C13" s="61" t="s">
        <v>436</v>
      </c>
      <c r="D13" s="61" t="s">
        <v>437</v>
      </c>
      <c r="E13" s="83" t="s">
        <v>438</v>
      </c>
    </row>
    <row r="14" spans="1:21" x14ac:dyDescent="0.25">
      <c r="A14" s="80" t="s">
        <v>439</v>
      </c>
      <c r="B14" s="84">
        <v>200000</v>
      </c>
      <c r="C14" s="84">
        <v>10500</v>
      </c>
      <c r="D14" s="84">
        <f>(B14+C14)</f>
        <v>210500</v>
      </c>
      <c r="E14" s="87">
        <f>(D14-B14)/B14</f>
        <v>5.2499999999999998E-2</v>
      </c>
    </row>
    <row r="15" spans="1:21" ht="23.25" x14ac:dyDescent="0.35">
      <c r="A15" s="80" t="s">
        <v>440</v>
      </c>
      <c r="B15" s="84">
        <v>225000</v>
      </c>
      <c r="C15" s="84">
        <v>11300</v>
      </c>
      <c r="D15" s="84">
        <f t="shared" ref="D15:D16" si="1">(B15+C15)</f>
        <v>236300</v>
      </c>
      <c r="E15" s="87">
        <f t="shared" ref="E15:E16" si="2">(D15-B15)/B15</f>
        <v>5.0222222222222224E-2</v>
      </c>
      <c r="K15" s="5" t="s">
        <v>452</v>
      </c>
      <c r="L15" s="10"/>
      <c r="M15" s="10"/>
      <c r="N15" s="10"/>
      <c r="O15" s="10"/>
      <c r="P15" s="10"/>
      <c r="Q15" s="10"/>
      <c r="R15" s="10"/>
      <c r="S15" s="10"/>
      <c r="T15" s="10"/>
    </row>
    <row r="16" spans="1:21" ht="19.5" thickBot="1" x14ac:dyDescent="0.35">
      <c r="A16" s="80" t="s">
        <v>441</v>
      </c>
      <c r="B16" s="62">
        <v>175000</v>
      </c>
      <c r="C16" s="62">
        <v>9000</v>
      </c>
      <c r="D16" s="62">
        <f t="shared" si="1"/>
        <v>184000</v>
      </c>
      <c r="E16" s="88">
        <f t="shared" si="2"/>
        <v>5.1428571428571428E-2</v>
      </c>
      <c r="K16" s="66" t="s">
        <v>453</v>
      </c>
      <c r="L16" s="67" t="s">
        <v>454</v>
      </c>
      <c r="M16" s="67"/>
      <c r="N16" s="67"/>
      <c r="O16" s="67"/>
      <c r="P16" s="67"/>
      <c r="Q16" s="67"/>
      <c r="R16" s="67"/>
      <c r="S16" s="67"/>
      <c r="T16" s="67"/>
      <c r="U16" s="68"/>
    </row>
    <row r="17" spans="1:21" ht="15.75" x14ac:dyDescent="0.25">
      <c r="A17" s="77"/>
      <c r="B17" s="89">
        <f>SUM(B14:B16)</f>
        <v>600000</v>
      </c>
      <c r="C17" s="89">
        <f t="shared" ref="C17:D17" si="3">SUM(C14:C16)</f>
        <v>30800</v>
      </c>
      <c r="D17" s="89">
        <f t="shared" si="3"/>
        <v>630800</v>
      </c>
      <c r="E17" s="92">
        <f>AVERAGE(E14:E16)</f>
        <v>5.1383597883597885E-2</v>
      </c>
      <c r="K17" s="69"/>
      <c r="L17" s="10" t="s">
        <v>455</v>
      </c>
      <c r="M17" s="10"/>
      <c r="N17" s="10"/>
      <c r="O17" s="28"/>
      <c r="P17" s="10"/>
      <c r="Q17" s="10"/>
      <c r="R17" s="10"/>
      <c r="S17" s="10"/>
      <c r="T17" s="10"/>
      <c r="U17" s="70"/>
    </row>
    <row r="18" spans="1:21" ht="15.75" x14ac:dyDescent="0.25">
      <c r="K18" s="69"/>
      <c r="L18" s="10" t="s">
        <v>125</v>
      </c>
      <c r="M18" s="11">
        <v>42767</v>
      </c>
      <c r="N18" s="10"/>
      <c r="O18" s="12" t="s">
        <v>456</v>
      </c>
      <c r="P18" s="10"/>
      <c r="Q18" s="10" t="s">
        <v>457</v>
      </c>
      <c r="R18" s="10"/>
      <c r="S18" s="10"/>
      <c r="T18" s="10"/>
      <c r="U18" s="70"/>
    </row>
    <row r="19" spans="1:21" ht="15.75" x14ac:dyDescent="0.25">
      <c r="K19" s="69"/>
      <c r="L19" s="10" t="s">
        <v>136</v>
      </c>
      <c r="M19" s="11">
        <v>42916</v>
      </c>
      <c r="N19" s="10"/>
      <c r="O19" s="16">
        <f>TBILLEQ(M18,M19,M20)</f>
        <v>2.5612237737702621E-2</v>
      </c>
      <c r="P19" s="10"/>
      <c r="Q19" s="38">
        <f>((100-98.965)/98.965)*365/149</f>
        <v>2.5619185414679432E-2</v>
      </c>
      <c r="R19" s="10"/>
      <c r="S19" s="10"/>
      <c r="T19" s="10"/>
      <c r="U19" s="70"/>
    </row>
    <row r="20" spans="1:21" ht="23.25" x14ac:dyDescent="0.35">
      <c r="A20" s="5" t="s">
        <v>442</v>
      </c>
      <c r="K20" s="69"/>
      <c r="L20" s="10" t="s">
        <v>135</v>
      </c>
      <c r="M20" s="15">
        <v>2.5000000000000001E-2</v>
      </c>
      <c r="N20" s="10"/>
      <c r="O20" s="10"/>
      <c r="P20" s="10"/>
      <c r="Q20" s="10"/>
      <c r="R20" s="10"/>
      <c r="S20" s="10"/>
      <c r="T20" s="10"/>
      <c r="U20" s="70"/>
    </row>
    <row r="21" spans="1:21" ht="23.25" x14ac:dyDescent="0.35">
      <c r="A21" s="93" t="s">
        <v>443</v>
      </c>
      <c r="B21" s="76"/>
      <c r="C21" s="76"/>
      <c r="D21" s="76"/>
      <c r="E21" s="76"/>
      <c r="F21" s="68"/>
      <c r="K21" s="69"/>
      <c r="U21" s="70"/>
    </row>
    <row r="22" spans="1:21" ht="23.25" x14ac:dyDescent="0.35">
      <c r="A22" s="77"/>
      <c r="B22" s="78"/>
      <c r="C22" s="94" t="s">
        <v>444</v>
      </c>
      <c r="D22" s="78"/>
      <c r="E22" s="78"/>
      <c r="F22" s="74"/>
      <c r="K22" s="71" t="s">
        <v>458</v>
      </c>
      <c r="L22" s="10" t="s">
        <v>459</v>
      </c>
      <c r="M22" s="10"/>
      <c r="N22" s="10"/>
      <c r="O22" s="10"/>
      <c r="P22" s="10"/>
      <c r="Q22" s="10"/>
      <c r="R22" s="10"/>
      <c r="S22" s="10"/>
      <c r="T22" s="10"/>
      <c r="U22" s="70"/>
    </row>
    <row r="23" spans="1:21" ht="15.75" x14ac:dyDescent="0.25">
      <c r="K23" s="69"/>
      <c r="L23" s="10" t="s">
        <v>460</v>
      </c>
      <c r="M23" s="10"/>
      <c r="N23" s="10"/>
      <c r="O23" s="10"/>
      <c r="P23" s="10"/>
      <c r="Q23" s="10"/>
      <c r="R23" s="10"/>
      <c r="S23" s="10"/>
      <c r="T23" s="10"/>
      <c r="U23" s="70"/>
    </row>
    <row r="24" spans="1:21" ht="15.75" x14ac:dyDescent="0.25">
      <c r="K24" s="69"/>
      <c r="L24" s="10" t="s">
        <v>125</v>
      </c>
      <c r="M24" s="11">
        <v>42767</v>
      </c>
      <c r="N24" s="10"/>
      <c r="O24" s="12" t="s">
        <v>461</v>
      </c>
      <c r="P24" s="10"/>
      <c r="Q24" s="10" t="s">
        <v>462</v>
      </c>
      <c r="R24" s="10"/>
      <c r="S24" s="10"/>
      <c r="T24" s="10"/>
      <c r="U24" s="70"/>
    </row>
    <row r="25" spans="1:21" ht="15.75" x14ac:dyDescent="0.25">
      <c r="K25" s="69"/>
      <c r="L25" s="10" t="s">
        <v>136</v>
      </c>
      <c r="M25" s="11">
        <v>42916</v>
      </c>
      <c r="N25" s="10"/>
      <c r="O25" s="13">
        <f>TBILLPRICE(M24,M25,M26)</f>
        <v>98.861805555555563</v>
      </c>
      <c r="P25" s="10"/>
      <c r="Q25" s="38">
        <f>100*(1-(0.0275*149)/360)</f>
        <v>98.861805555555563</v>
      </c>
      <c r="R25" s="10"/>
      <c r="S25" s="10"/>
      <c r="T25" s="10"/>
      <c r="U25" s="70"/>
    </row>
    <row r="26" spans="1:21" ht="15.75" x14ac:dyDescent="0.25">
      <c r="K26" s="69"/>
      <c r="L26" s="10" t="s">
        <v>135</v>
      </c>
      <c r="M26" s="15">
        <v>2.75E-2</v>
      </c>
      <c r="N26" s="10"/>
      <c r="O26" s="10"/>
      <c r="P26" s="10"/>
      <c r="Q26" s="10"/>
      <c r="R26" s="10"/>
      <c r="S26" s="10"/>
      <c r="T26" s="10"/>
      <c r="U26" s="70"/>
    </row>
    <row r="27" spans="1:21" ht="15.75" x14ac:dyDescent="0.25">
      <c r="K27" s="69"/>
      <c r="U27" s="70"/>
    </row>
    <row r="28" spans="1:21" ht="18.75" x14ac:dyDescent="0.3">
      <c r="K28" s="71" t="s">
        <v>463</v>
      </c>
      <c r="L28" s="10" t="s">
        <v>464</v>
      </c>
      <c r="M28" s="10"/>
      <c r="N28" s="10"/>
      <c r="O28" s="10"/>
      <c r="P28" s="10"/>
      <c r="Q28" s="10"/>
      <c r="R28" s="10"/>
      <c r="S28" s="10"/>
      <c r="T28" s="10"/>
      <c r="U28" s="70"/>
    </row>
    <row r="29" spans="1:21" ht="15.75" x14ac:dyDescent="0.25">
      <c r="K29" s="69"/>
      <c r="L29" s="10" t="s">
        <v>465</v>
      </c>
      <c r="M29" s="10"/>
      <c r="N29" s="10"/>
      <c r="O29" s="10"/>
      <c r="P29" s="10"/>
      <c r="Q29" s="10"/>
      <c r="R29" s="10"/>
      <c r="S29" s="10"/>
      <c r="T29" s="10"/>
      <c r="U29" s="70"/>
    </row>
    <row r="30" spans="1:21" ht="15.75" x14ac:dyDescent="0.25">
      <c r="K30" s="69"/>
      <c r="L30" s="10" t="s">
        <v>125</v>
      </c>
      <c r="M30" s="11">
        <v>42767</v>
      </c>
      <c r="N30" s="10"/>
      <c r="O30" s="12" t="s">
        <v>466</v>
      </c>
      <c r="P30" s="10"/>
      <c r="Q30" s="10" t="s">
        <v>467</v>
      </c>
      <c r="R30" s="10"/>
      <c r="S30" s="10"/>
      <c r="T30" s="10"/>
      <c r="U30" s="70"/>
    </row>
    <row r="31" spans="1:21" ht="15.75" x14ac:dyDescent="0.25">
      <c r="K31" s="69"/>
      <c r="L31" s="10" t="s">
        <v>136</v>
      </c>
      <c r="M31" s="11">
        <v>42916</v>
      </c>
      <c r="N31" s="10"/>
      <c r="O31" s="16">
        <f>TBILLYIELD(M30,M31,M32)</f>
        <v>2.4405125076266018E-2</v>
      </c>
      <c r="P31" s="10"/>
      <c r="Q31" s="38">
        <f>(((100-99)/99)*100)*(360/149)</f>
        <v>2.4405125076266017</v>
      </c>
      <c r="R31" s="10"/>
      <c r="S31" s="10"/>
      <c r="T31" s="10"/>
      <c r="U31" s="70"/>
    </row>
    <row r="32" spans="1:21" ht="15.75" x14ac:dyDescent="0.25">
      <c r="K32" s="72"/>
      <c r="L32" s="51" t="s">
        <v>166</v>
      </c>
      <c r="M32" s="73">
        <v>99</v>
      </c>
      <c r="N32" s="51"/>
      <c r="O32" s="51"/>
      <c r="P32" s="51"/>
      <c r="Q32" s="51"/>
      <c r="R32" s="51"/>
      <c r="S32" s="51"/>
      <c r="T32" s="51"/>
      <c r="U32" s="74"/>
    </row>
    <row r="36" spans="11:20" ht="15.75" x14ac:dyDescent="0.25">
      <c r="K36" s="10"/>
    </row>
    <row r="39" spans="11:20" ht="15.75" x14ac:dyDescent="0.25">
      <c r="K39" s="10"/>
      <c r="L39" s="10"/>
      <c r="M39" s="10"/>
      <c r="N39" s="10"/>
      <c r="O39" s="10"/>
      <c r="P39" s="10"/>
      <c r="Q39" s="10"/>
      <c r="R39" s="10"/>
      <c r="S39" s="10"/>
      <c r="T39" s="10"/>
    </row>
    <row r="40" spans="11:20" ht="15.75" x14ac:dyDescent="0.25">
      <c r="T40" s="10"/>
    </row>
    <row r="41" spans="11:20" ht="15.75" x14ac:dyDescent="0.25">
      <c r="T41" s="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B7BB6-6F12-46C3-8F94-4BDD49395B4E}">
  <dimension ref="A1:G43"/>
  <sheetViews>
    <sheetView workbookViewId="0">
      <selection activeCell="A8" sqref="A8"/>
    </sheetView>
  </sheetViews>
  <sheetFormatPr defaultRowHeight="15" x14ac:dyDescent="0.25"/>
  <cols>
    <col min="1" max="1" width="48" customWidth="1"/>
    <col min="2" max="7" width="19.7109375" customWidth="1"/>
  </cols>
  <sheetData>
    <row r="1" spans="1:7" ht="23.25" x14ac:dyDescent="0.35">
      <c r="A1" s="5" t="s">
        <v>914</v>
      </c>
    </row>
    <row r="2" spans="1:7" ht="60" x14ac:dyDescent="0.25">
      <c r="A2" s="105" t="s">
        <v>1003</v>
      </c>
      <c r="B2" s="104" t="s">
        <v>916</v>
      </c>
      <c r="C2" s="104" t="s">
        <v>917</v>
      </c>
      <c r="D2" s="104" t="s">
        <v>918</v>
      </c>
      <c r="E2" s="104" t="s">
        <v>919</v>
      </c>
      <c r="F2" s="104" t="s">
        <v>920</v>
      </c>
      <c r="G2" s="104" t="s">
        <v>921</v>
      </c>
    </row>
    <row r="4" spans="1:7" x14ac:dyDescent="0.25">
      <c r="A4" t="s">
        <v>915</v>
      </c>
      <c r="B4" s="103">
        <v>1</v>
      </c>
      <c r="C4" s="103"/>
      <c r="D4" s="103"/>
      <c r="E4" s="103"/>
      <c r="F4" s="103"/>
      <c r="G4" s="103"/>
    </row>
    <row r="5" spans="1:7" x14ac:dyDescent="0.25">
      <c r="A5" t="s">
        <v>922</v>
      </c>
      <c r="B5" s="103"/>
      <c r="C5" s="103"/>
      <c r="D5" s="103">
        <v>3</v>
      </c>
      <c r="E5" s="103"/>
      <c r="F5" s="103"/>
      <c r="G5" s="103"/>
    </row>
    <row r="6" spans="1:7" x14ac:dyDescent="0.25">
      <c r="A6" t="s">
        <v>923</v>
      </c>
      <c r="B6" s="103"/>
      <c r="C6" s="103"/>
      <c r="D6" s="103">
        <v>3</v>
      </c>
      <c r="E6" s="103"/>
      <c r="F6" s="103"/>
      <c r="G6" s="103"/>
    </row>
    <row r="7" spans="1:7" x14ac:dyDescent="0.25">
      <c r="A7" t="s">
        <v>924</v>
      </c>
      <c r="B7" s="103"/>
      <c r="C7" s="103"/>
      <c r="D7" s="103"/>
      <c r="E7" s="103"/>
      <c r="F7" s="103"/>
      <c r="G7" s="103">
        <v>6</v>
      </c>
    </row>
    <row r="8" spans="1:7" x14ac:dyDescent="0.25">
      <c r="A8" t="s">
        <v>925</v>
      </c>
      <c r="B8" s="103"/>
      <c r="C8" s="103"/>
      <c r="D8" s="103">
        <v>3</v>
      </c>
      <c r="E8" s="103"/>
      <c r="F8" s="103"/>
      <c r="G8" s="103"/>
    </row>
    <row r="9" spans="1:7" x14ac:dyDescent="0.25">
      <c r="A9" t="s">
        <v>926</v>
      </c>
      <c r="B9" s="103">
        <v>1</v>
      </c>
      <c r="C9" s="103"/>
      <c r="D9" s="103"/>
      <c r="E9" s="103">
        <v>4</v>
      </c>
      <c r="F9" s="103"/>
      <c r="G9" s="103">
        <v>6</v>
      </c>
    </row>
    <row r="10" spans="1:7" x14ac:dyDescent="0.25">
      <c r="A10" t="s">
        <v>927</v>
      </c>
      <c r="B10" s="103"/>
      <c r="C10" s="103"/>
      <c r="D10" s="103"/>
      <c r="E10" s="103"/>
      <c r="F10" s="103">
        <v>5</v>
      </c>
      <c r="G10" s="103"/>
    </row>
    <row r="11" spans="1:7" x14ac:dyDescent="0.25">
      <c r="A11" t="s">
        <v>928</v>
      </c>
      <c r="B11" s="103"/>
      <c r="C11" s="103"/>
      <c r="D11" s="103"/>
      <c r="E11" s="103">
        <v>4</v>
      </c>
      <c r="F11" s="103"/>
      <c r="G11" s="103">
        <v>6</v>
      </c>
    </row>
    <row r="12" spans="1:7" x14ac:dyDescent="0.25">
      <c r="A12" t="s">
        <v>929</v>
      </c>
      <c r="B12" s="103">
        <v>1</v>
      </c>
      <c r="C12" s="103"/>
      <c r="D12" s="103"/>
      <c r="E12" s="103"/>
      <c r="F12" s="103"/>
      <c r="G12" s="103"/>
    </row>
    <row r="13" spans="1:7" x14ac:dyDescent="0.25">
      <c r="A13" t="s">
        <v>930</v>
      </c>
      <c r="B13" s="103">
        <v>1</v>
      </c>
      <c r="C13" s="103"/>
      <c r="D13" s="103"/>
      <c r="E13" s="103"/>
      <c r="F13" s="103"/>
      <c r="G13" s="103"/>
    </row>
    <row r="14" spans="1:7" x14ac:dyDescent="0.25">
      <c r="A14" t="s">
        <v>931</v>
      </c>
      <c r="B14" s="103">
        <v>1</v>
      </c>
      <c r="C14" s="103"/>
      <c r="D14" s="103"/>
      <c r="E14" s="103"/>
      <c r="F14" s="103"/>
      <c r="G14" s="103"/>
    </row>
    <row r="15" spans="1:7" x14ac:dyDescent="0.25">
      <c r="A15" t="s">
        <v>932</v>
      </c>
      <c r="B15" s="103"/>
      <c r="C15" s="103">
        <v>2</v>
      </c>
      <c r="D15" s="103"/>
      <c r="E15" s="103"/>
      <c r="F15" s="103"/>
      <c r="G15" s="103"/>
    </row>
    <row r="16" spans="1:7" x14ac:dyDescent="0.25">
      <c r="A16" t="s">
        <v>933</v>
      </c>
      <c r="B16" s="103">
        <v>1</v>
      </c>
      <c r="C16" s="103"/>
      <c r="D16" s="103"/>
      <c r="E16" s="103"/>
      <c r="F16" s="103"/>
      <c r="G16" s="103"/>
    </row>
    <row r="17" spans="1:7" x14ac:dyDescent="0.25">
      <c r="A17" t="s">
        <v>935</v>
      </c>
      <c r="B17" s="103"/>
      <c r="C17" s="103">
        <v>2</v>
      </c>
      <c r="D17" s="103"/>
      <c r="E17" s="103"/>
      <c r="F17" s="103"/>
      <c r="G17" s="103"/>
    </row>
    <row r="18" spans="1:7" x14ac:dyDescent="0.25">
      <c r="A18" t="s">
        <v>934</v>
      </c>
      <c r="B18" s="103">
        <v>1</v>
      </c>
      <c r="C18" s="103"/>
      <c r="D18" s="103">
        <v>3</v>
      </c>
      <c r="E18" s="103"/>
      <c r="F18" s="103"/>
      <c r="G18" s="103"/>
    </row>
    <row r="19" spans="1:7" x14ac:dyDescent="0.25">
      <c r="A19" t="s">
        <v>936</v>
      </c>
      <c r="B19" s="103">
        <v>1</v>
      </c>
      <c r="C19" s="103"/>
      <c r="D19" s="103"/>
      <c r="E19" s="103"/>
      <c r="F19" s="103"/>
      <c r="G19" s="103"/>
    </row>
    <row r="20" spans="1:7" x14ac:dyDescent="0.25">
      <c r="A20" t="s">
        <v>937</v>
      </c>
      <c r="B20" s="103">
        <v>1</v>
      </c>
      <c r="C20" s="103"/>
      <c r="D20" s="103"/>
      <c r="E20" s="103"/>
      <c r="F20" s="103"/>
      <c r="G20" s="103"/>
    </row>
    <row r="21" spans="1:7" x14ac:dyDescent="0.25">
      <c r="A21" t="s">
        <v>938</v>
      </c>
      <c r="B21" s="103"/>
      <c r="C21" s="103"/>
      <c r="D21" s="103"/>
      <c r="E21" s="103"/>
      <c r="F21" s="103"/>
      <c r="G21" s="103">
        <v>6</v>
      </c>
    </row>
    <row r="22" spans="1:7" x14ac:dyDescent="0.25">
      <c r="A22" t="s">
        <v>939</v>
      </c>
      <c r="B22" s="103">
        <v>1</v>
      </c>
      <c r="C22" s="103"/>
      <c r="D22" s="103"/>
      <c r="E22" s="103"/>
      <c r="F22" s="103"/>
      <c r="G22" s="103"/>
    </row>
    <row r="23" spans="1:7" x14ac:dyDescent="0.25">
      <c r="A23" t="s">
        <v>940</v>
      </c>
      <c r="B23" s="103">
        <v>1</v>
      </c>
      <c r="C23" s="103"/>
      <c r="D23" s="103"/>
      <c r="E23" s="103"/>
      <c r="F23" s="103"/>
      <c r="G23" s="103"/>
    </row>
    <row r="24" spans="1:7" x14ac:dyDescent="0.25">
      <c r="A24" t="s">
        <v>941</v>
      </c>
      <c r="B24" s="103">
        <v>1</v>
      </c>
      <c r="C24" s="103"/>
      <c r="D24" s="103"/>
      <c r="E24" s="103"/>
      <c r="F24" s="103"/>
      <c r="G24" s="103"/>
    </row>
    <row r="25" spans="1:7" x14ac:dyDescent="0.25">
      <c r="A25" t="s">
        <v>942</v>
      </c>
      <c r="B25" s="103">
        <v>1</v>
      </c>
      <c r="C25" s="103"/>
      <c r="D25" s="103"/>
      <c r="E25" s="103"/>
      <c r="F25" s="103"/>
      <c r="G25" s="103"/>
    </row>
    <row r="26" spans="1:7" x14ac:dyDescent="0.25">
      <c r="A26" t="s">
        <v>1002</v>
      </c>
      <c r="B26" s="103">
        <v>1</v>
      </c>
      <c r="C26" s="103"/>
      <c r="D26" s="103"/>
      <c r="E26" s="103"/>
      <c r="F26" s="103"/>
      <c r="G26" s="103"/>
    </row>
    <row r="27" spans="1:7" x14ac:dyDescent="0.25">
      <c r="A27" t="s">
        <v>943</v>
      </c>
      <c r="B27" s="103"/>
      <c r="C27" s="103"/>
      <c r="D27" s="103"/>
      <c r="E27" s="103">
        <v>4</v>
      </c>
      <c r="F27" s="103"/>
      <c r="G27" s="103"/>
    </row>
    <row r="28" spans="1:7" x14ac:dyDescent="0.25">
      <c r="A28" t="s">
        <v>944</v>
      </c>
      <c r="B28" s="103">
        <v>1</v>
      </c>
      <c r="C28" s="103"/>
      <c r="D28" s="103"/>
      <c r="E28" s="103"/>
      <c r="F28" s="103"/>
      <c r="G28" s="103"/>
    </row>
    <row r="29" spans="1:7" x14ac:dyDescent="0.25">
      <c r="A29" t="s">
        <v>945</v>
      </c>
      <c r="B29" s="103"/>
      <c r="C29" s="103"/>
      <c r="D29" s="103">
        <v>3</v>
      </c>
      <c r="E29" s="103"/>
      <c r="F29" s="103"/>
      <c r="G29" s="103"/>
    </row>
    <row r="30" spans="1:7" x14ac:dyDescent="0.25">
      <c r="A30" t="s">
        <v>946</v>
      </c>
      <c r="B30" s="103"/>
      <c r="C30" s="103"/>
      <c r="D30" s="103">
        <v>3</v>
      </c>
      <c r="E30" s="103"/>
      <c r="F30" s="103"/>
      <c r="G30" s="103"/>
    </row>
    <row r="31" spans="1:7" x14ac:dyDescent="0.25">
      <c r="A31" t="s">
        <v>947</v>
      </c>
      <c r="B31" s="103">
        <v>1</v>
      </c>
      <c r="C31" s="103"/>
      <c r="D31" s="103"/>
      <c r="E31" s="103"/>
      <c r="F31" s="103"/>
      <c r="G31" s="103"/>
    </row>
    <row r="32" spans="1:7" x14ac:dyDescent="0.25">
      <c r="A32" t="s">
        <v>948</v>
      </c>
      <c r="B32" s="103"/>
      <c r="C32" s="103"/>
      <c r="D32" s="103">
        <v>3</v>
      </c>
      <c r="E32" s="103"/>
      <c r="F32" s="103"/>
      <c r="G32" s="103"/>
    </row>
    <row r="33" spans="1:7" x14ac:dyDescent="0.25">
      <c r="A33" t="s">
        <v>949</v>
      </c>
      <c r="B33" s="103"/>
      <c r="C33" s="103"/>
      <c r="D33" s="103">
        <v>3</v>
      </c>
      <c r="E33" s="103"/>
      <c r="F33" s="103"/>
      <c r="G33" s="103"/>
    </row>
    <row r="34" spans="1:7" x14ac:dyDescent="0.25">
      <c r="A34" t="s">
        <v>950</v>
      </c>
      <c r="B34" s="103">
        <v>1</v>
      </c>
      <c r="C34" s="103"/>
      <c r="D34" s="103"/>
      <c r="E34" s="103"/>
      <c r="F34" s="103"/>
      <c r="G34" s="103"/>
    </row>
    <row r="35" spans="1:7" x14ac:dyDescent="0.25">
      <c r="A35" t="s">
        <v>951</v>
      </c>
      <c r="B35" s="103"/>
      <c r="C35" s="103"/>
      <c r="D35" s="103">
        <v>3</v>
      </c>
      <c r="E35" s="103"/>
      <c r="F35" s="103"/>
      <c r="G35" s="103"/>
    </row>
    <row r="36" spans="1:7" x14ac:dyDescent="0.25">
      <c r="A36" t="s">
        <v>952</v>
      </c>
      <c r="B36" s="103"/>
      <c r="C36" s="103"/>
      <c r="D36" s="103">
        <v>3</v>
      </c>
      <c r="E36" s="103"/>
      <c r="F36" s="103"/>
      <c r="G36" s="103"/>
    </row>
    <row r="37" spans="1:7" x14ac:dyDescent="0.25">
      <c r="A37" t="s">
        <v>954</v>
      </c>
      <c r="B37" s="103">
        <v>1</v>
      </c>
      <c r="C37" s="103"/>
      <c r="D37" s="103"/>
      <c r="E37" s="103"/>
      <c r="F37" s="103"/>
      <c r="G37" s="103"/>
    </row>
    <row r="38" spans="1:7" x14ac:dyDescent="0.25">
      <c r="A38" t="s">
        <v>953</v>
      </c>
      <c r="B38" s="103"/>
      <c r="C38" s="103"/>
      <c r="D38" s="103"/>
      <c r="E38" s="103"/>
      <c r="F38" s="103"/>
      <c r="G38" s="103">
        <v>6</v>
      </c>
    </row>
    <row r="39" spans="1:7" x14ac:dyDescent="0.25">
      <c r="A39" t="s">
        <v>955</v>
      </c>
      <c r="B39" s="103">
        <v>1</v>
      </c>
      <c r="C39" s="103"/>
      <c r="D39" s="103"/>
      <c r="E39" s="103"/>
      <c r="F39" s="103"/>
      <c r="G39" s="103"/>
    </row>
    <row r="40" spans="1:7" x14ac:dyDescent="0.25">
      <c r="A40" t="s">
        <v>956</v>
      </c>
      <c r="B40" s="103"/>
      <c r="C40" s="103"/>
      <c r="D40" s="103"/>
      <c r="E40" s="103"/>
      <c r="F40" s="103"/>
      <c r="G40" s="103">
        <v>6</v>
      </c>
    </row>
    <row r="41" spans="1:7" x14ac:dyDescent="0.25">
      <c r="A41" t="s">
        <v>957</v>
      </c>
      <c r="B41" s="103"/>
      <c r="C41" s="103">
        <v>2</v>
      </c>
      <c r="D41" s="103"/>
      <c r="E41" s="103"/>
      <c r="F41" s="103"/>
      <c r="G41" s="103"/>
    </row>
    <row r="42" spans="1:7" x14ac:dyDescent="0.25">
      <c r="A42" t="s">
        <v>958</v>
      </c>
      <c r="B42" s="103"/>
      <c r="C42" s="103">
        <v>2</v>
      </c>
      <c r="D42" s="103"/>
      <c r="E42" s="103"/>
      <c r="F42" s="103"/>
      <c r="G42" s="103"/>
    </row>
    <row r="43" spans="1:7" x14ac:dyDescent="0.25">
      <c r="A43" t="s">
        <v>959</v>
      </c>
      <c r="B43" s="103"/>
      <c r="C43" s="103"/>
      <c r="D43" s="103"/>
      <c r="E43" s="103"/>
      <c r="F43" s="103"/>
      <c r="G43" s="103">
        <v>6</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A22B-70EC-40A0-B482-43B37E8A5B58}">
  <sheetPr>
    <tabColor theme="0" tint="-0.14999847407452621"/>
  </sheetPr>
  <dimension ref="A1:B99"/>
  <sheetViews>
    <sheetView workbookViewId="0">
      <selection activeCell="A26" sqref="A26"/>
    </sheetView>
  </sheetViews>
  <sheetFormatPr defaultRowHeight="15" x14ac:dyDescent="0.25"/>
  <cols>
    <col min="1" max="1" width="62" bestFit="1" customWidth="1"/>
  </cols>
  <sheetData>
    <row r="1" spans="1:2" ht="23.25" x14ac:dyDescent="0.35">
      <c r="A1" s="5" t="s">
        <v>912</v>
      </c>
    </row>
    <row r="3" spans="1:2" x14ac:dyDescent="0.25">
      <c r="A3" s="101" t="s">
        <v>749</v>
      </c>
    </row>
    <row r="4" spans="1:2" x14ac:dyDescent="0.25">
      <c r="A4" t="s">
        <v>758</v>
      </c>
      <c r="B4" s="102" t="s">
        <v>759</v>
      </c>
    </row>
    <row r="5" spans="1:2" x14ac:dyDescent="0.25">
      <c r="A5" t="s">
        <v>778</v>
      </c>
      <c r="B5" s="102" t="s">
        <v>760</v>
      </c>
    </row>
    <row r="6" spans="1:2" x14ac:dyDescent="0.25">
      <c r="A6" t="s">
        <v>911</v>
      </c>
      <c r="B6" s="102" t="s">
        <v>761</v>
      </c>
    </row>
    <row r="8" spans="1:2" x14ac:dyDescent="0.25">
      <c r="A8" s="101" t="s">
        <v>750</v>
      </c>
    </row>
    <row r="9" spans="1:2" x14ac:dyDescent="0.25">
      <c r="A9" t="s">
        <v>779</v>
      </c>
      <c r="B9" s="102" t="s">
        <v>762</v>
      </c>
    </row>
    <row r="10" spans="1:2" x14ac:dyDescent="0.25">
      <c r="A10" t="s">
        <v>780</v>
      </c>
      <c r="B10" s="102" t="s">
        <v>763</v>
      </c>
    </row>
    <row r="11" spans="1:2" x14ac:dyDescent="0.25">
      <c r="A11" t="s">
        <v>781</v>
      </c>
      <c r="B11" s="102" t="s">
        <v>764</v>
      </c>
    </row>
    <row r="12" spans="1:2" x14ac:dyDescent="0.25">
      <c r="A12" t="s">
        <v>782</v>
      </c>
      <c r="B12" s="102" t="s">
        <v>765</v>
      </c>
    </row>
    <row r="13" spans="1:2" x14ac:dyDescent="0.25">
      <c r="A13" t="s">
        <v>783</v>
      </c>
      <c r="B13" s="102" t="s">
        <v>766</v>
      </c>
    </row>
    <row r="14" spans="1:2" x14ac:dyDescent="0.25">
      <c r="A14" t="s">
        <v>784</v>
      </c>
      <c r="B14" s="102" t="s">
        <v>767</v>
      </c>
    </row>
    <row r="15" spans="1:2" x14ac:dyDescent="0.25">
      <c r="A15" t="s">
        <v>785</v>
      </c>
      <c r="B15" s="102" t="s">
        <v>768</v>
      </c>
    </row>
    <row r="16" spans="1:2" x14ac:dyDescent="0.25">
      <c r="A16" t="s">
        <v>786</v>
      </c>
      <c r="B16" s="102" t="s">
        <v>769</v>
      </c>
    </row>
    <row r="17" spans="1:2" x14ac:dyDescent="0.25">
      <c r="A17" t="s">
        <v>787</v>
      </c>
      <c r="B17" s="102" t="s">
        <v>770</v>
      </c>
    </row>
    <row r="18" spans="1:2" x14ac:dyDescent="0.25">
      <c r="A18" t="s">
        <v>788</v>
      </c>
      <c r="B18" s="102" t="s">
        <v>771</v>
      </c>
    </row>
    <row r="19" spans="1:2" x14ac:dyDescent="0.25">
      <c r="A19" t="s">
        <v>789</v>
      </c>
      <c r="B19" s="102" t="s">
        <v>772</v>
      </c>
    </row>
    <row r="20" spans="1:2" x14ac:dyDescent="0.25">
      <c r="A20" t="s">
        <v>790</v>
      </c>
      <c r="B20" s="102" t="s">
        <v>773</v>
      </c>
    </row>
    <row r="21" spans="1:2" x14ac:dyDescent="0.25">
      <c r="A21" t="s">
        <v>791</v>
      </c>
      <c r="B21" s="102" t="s">
        <v>774</v>
      </c>
    </row>
    <row r="22" spans="1:2" x14ac:dyDescent="0.25">
      <c r="A22" t="s">
        <v>792</v>
      </c>
      <c r="B22" s="102" t="s">
        <v>775</v>
      </c>
    </row>
    <row r="23" spans="1:2" x14ac:dyDescent="0.25">
      <c r="A23" t="s">
        <v>793</v>
      </c>
      <c r="B23" s="102" t="s">
        <v>776</v>
      </c>
    </row>
    <row r="24" spans="1:2" x14ac:dyDescent="0.25">
      <c r="A24" t="s">
        <v>794</v>
      </c>
      <c r="B24" s="102" t="s">
        <v>777</v>
      </c>
    </row>
    <row r="25" spans="1:2" x14ac:dyDescent="0.25">
      <c r="A25" t="s">
        <v>795</v>
      </c>
      <c r="B25" s="102" t="s">
        <v>842</v>
      </c>
    </row>
    <row r="27" spans="1:2" x14ac:dyDescent="0.25">
      <c r="A27" s="101" t="s">
        <v>751</v>
      </c>
    </row>
    <row r="28" spans="1:2" x14ac:dyDescent="0.25">
      <c r="A28" t="s">
        <v>796</v>
      </c>
      <c r="B28" s="102" t="s">
        <v>797</v>
      </c>
    </row>
    <row r="29" spans="1:2" x14ac:dyDescent="0.25">
      <c r="A29" t="s">
        <v>798</v>
      </c>
      <c r="B29" s="102" t="s">
        <v>799</v>
      </c>
    </row>
    <row r="30" spans="1:2" x14ac:dyDescent="0.25">
      <c r="A30" t="s">
        <v>800</v>
      </c>
      <c r="B30" s="102" t="s">
        <v>801</v>
      </c>
    </row>
    <row r="31" spans="1:2" x14ac:dyDescent="0.25">
      <c r="A31" t="s">
        <v>802</v>
      </c>
      <c r="B31" s="102" t="s">
        <v>803</v>
      </c>
    </row>
    <row r="32" spans="1:2" x14ac:dyDescent="0.25">
      <c r="A32" t="s">
        <v>839</v>
      </c>
      <c r="B32" s="102" t="s">
        <v>838</v>
      </c>
    </row>
    <row r="33" spans="1:2" x14ac:dyDescent="0.25">
      <c r="A33" t="s">
        <v>841</v>
      </c>
      <c r="B33" s="102" t="s">
        <v>840</v>
      </c>
    </row>
    <row r="34" spans="1:2" x14ac:dyDescent="0.25">
      <c r="A34" t="s">
        <v>804</v>
      </c>
      <c r="B34" s="102" t="s">
        <v>805</v>
      </c>
    </row>
    <row r="35" spans="1:2" x14ac:dyDescent="0.25">
      <c r="A35" t="s">
        <v>806</v>
      </c>
      <c r="B35" s="102" t="s">
        <v>807</v>
      </c>
    </row>
    <row r="36" spans="1:2" x14ac:dyDescent="0.25">
      <c r="A36" t="s">
        <v>808</v>
      </c>
      <c r="B36" s="102" t="s">
        <v>809</v>
      </c>
    </row>
    <row r="37" spans="1:2" x14ac:dyDescent="0.25">
      <c r="A37" t="s">
        <v>810</v>
      </c>
      <c r="B37" s="102" t="s">
        <v>811</v>
      </c>
    </row>
    <row r="38" spans="1:2" x14ac:dyDescent="0.25">
      <c r="A38" t="s">
        <v>812</v>
      </c>
      <c r="B38" s="102" t="s">
        <v>813</v>
      </c>
    </row>
    <row r="39" spans="1:2" x14ac:dyDescent="0.25">
      <c r="A39" t="s">
        <v>814</v>
      </c>
      <c r="B39" s="102" t="s">
        <v>815</v>
      </c>
    </row>
    <row r="40" spans="1:2" x14ac:dyDescent="0.25">
      <c r="A40" t="s">
        <v>816</v>
      </c>
      <c r="B40" s="102" t="s">
        <v>817</v>
      </c>
    </row>
    <row r="41" spans="1:2" x14ac:dyDescent="0.25">
      <c r="A41" t="s">
        <v>818</v>
      </c>
      <c r="B41" s="102" t="s">
        <v>819</v>
      </c>
    </row>
    <row r="42" spans="1:2" x14ac:dyDescent="0.25">
      <c r="A42" t="s">
        <v>820</v>
      </c>
      <c r="B42" s="102" t="s">
        <v>821</v>
      </c>
    </row>
    <row r="43" spans="1:2" x14ac:dyDescent="0.25">
      <c r="A43" t="s">
        <v>822</v>
      </c>
      <c r="B43" s="102" t="s">
        <v>823</v>
      </c>
    </row>
    <row r="44" spans="1:2" x14ac:dyDescent="0.25">
      <c r="A44" t="s">
        <v>824</v>
      </c>
      <c r="B44" s="102" t="s">
        <v>825</v>
      </c>
    </row>
    <row r="45" spans="1:2" x14ac:dyDescent="0.25">
      <c r="A45" t="s">
        <v>826</v>
      </c>
      <c r="B45" s="102" t="s">
        <v>827</v>
      </c>
    </row>
    <row r="46" spans="1:2" x14ac:dyDescent="0.25">
      <c r="A46" t="s">
        <v>828</v>
      </c>
      <c r="B46" s="102" t="s">
        <v>829</v>
      </c>
    </row>
    <row r="47" spans="1:2" x14ac:dyDescent="0.25">
      <c r="A47" t="s">
        <v>830</v>
      </c>
      <c r="B47" s="102" t="s">
        <v>831</v>
      </c>
    </row>
    <row r="48" spans="1:2" x14ac:dyDescent="0.25">
      <c r="A48" t="s">
        <v>832</v>
      </c>
      <c r="B48" s="102" t="s">
        <v>833</v>
      </c>
    </row>
    <row r="49" spans="1:2" x14ac:dyDescent="0.25">
      <c r="A49" t="s">
        <v>834</v>
      </c>
      <c r="B49" s="102" t="s">
        <v>835</v>
      </c>
    </row>
    <row r="50" spans="1:2" x14ac:dyDescent="0.25">
      <c r="A50" t="s">
        <v>836</v>
      </c>
      <c r="B50" s="102" t="s">
        <v>837</v>
      </c>
    </row>
    <row r="52" spans="1:2" x14ac:dyDescent="0.25">
      <c r="A52" s="101" t="s">
        <v>752</v>
      </c>
    </row>
    <row r="53" spans="1:2" x14ac:dyDescent="0.25">
      <c r="A53" t="s">
        <v>843</v>
      </c>
      <c r="B53" s="102" t="s">
        <v>844</v>
      </c>
    </row>
    <row r="54" spans="1:2" x14ac:dyDescent="0.25">
      <c r="A54" t="s">
        <v>845</v>
      </c>
      <c r="B54" s="102" t="s">
        <v>846</v>
      </c>
    </row>
    <row r="55" spans="1:2" x14ac:dyDescent="0.25">
      <c r="A55" t="s">
        <v>847</v>
      </c>
      <c r="B55" s="102" t="s">
        <v>848</v>
      </c>
    </row>
    <row r="56" spans="1:2" x14ac:dyDescent="0.25">
      <c r="A56" t="s">
        <v>849</v>
      </c>
      <c r="B56" s="102" t="s">
        <v>850</v>
      </c>
    </row>
    <row r="57" spans="1:2" x14ac:dyDescent="0.25">
      <c r="A57" t="s">
        <v>851</v>
      </c>
      <c r="B57" s="102" t="s">
        <v>852</v>
      </c>
    </row>
    <row r="59" spans="1:2" x14ac:dyDescent="0.25">
      <c r="A59" s="101" t="s">
        <v>863</v>
      </c>
    </row>
    <row r="60" spans="1:2" x14ac:dyDescent="0.25">
      <c r="A60" t="s">
        <v>853</v>
      </c>
      <c r="B60" s="102" t="s">
        <v>854</v>
      </c>
    </row>
    <row r="61" spans="1:2" x14ac:dyDescent="0.25">
      <c r="A61" t="s">
        <v>855</v>
      </c>
      <c r="B61" s="102" t="s">
        <v>856</v>
      </c>
    </row>
    <row r="62" spans="1:2" x14ac:dyDescent="0.25">
      <c r="A62" t="s">
        <v>857</v>
      </c>
      <c r="B62" s="102" t="s">
        <v>858</v>
      </c>
    </row>
    <row r="63" spans="1:2" x14ac:dyDescent="0.25">
      <c r="A63" t="s">
        <v>859</v>
      </c>
      <c r="B63" s="102" t="s">
        <v>860</v>
      </c>
    </row>
    <row r="64" spans="1:2" x14ac:dyDescent="0.25">
      <c r="A64" t="s">
        <v>861</v>
      </c>
      <c r="B64" s="102" t="s">
        <v>862</v>
      </c>
    </row>
    <row r="66" spans="1:2" x14ac:dyDescent="0.25">
      <c r="A66" s="101" t="s">
        <v>753</v>
      </c>
    </row>
    <row r="67" spans="1:2" x14ac:dyDescent="0.25">
      <c r="A67" t="s">
        <v>864</v>
      </c>
      <c r="B67" s="102" t="s">
        <v>865</v>
      </c>
    </row>
    <row r="68" spans="1:2" x14ac:dyDescent="0.25">
      <c r="A68" t="s">
        <v>866</v>
      </c>
      <c r="B68" s="102" t="s">
        <v>867</v>
      </c>
    </row>
    <row r="69" spans="1:2" x14ac:dyDescent="0.25">
      <c r="A69" t="s">
        <v>868</v>
      </c>
      <c r="B69" s="102" t="s">
        <v>869</v>
      </c>
    </row>
    <row r="70" spans="1:2" x14ac:dyDescent="0.25">
      <c r="A70" t="s">
        <v>870</v>
      </c>
      <c r="B70" s="102" t="s">
        <v>871</v>
      </c>
    </row>
    <row r="71" spans="1:2" x14ac:dyDescent="0.25">
      <c r="A71" t="s">
        <v>872</v>
      </c>
      <c r="B71" s="102" t="s">
        <v>873</v>
      </c>
    </row>
    <row r="72" spans="1:2" x14ac:dyDescent="0.25">
      <c r="A72" t="s">
        <v>853</v>
      </c>
      <c r="B72" s="102" t="s">
        <v>854</v>
      </c>
    </row>
    <row r="73" spans="1:2" x14ac:dyDescent="0.25">
      <c r="A73" t="s">
        <v>874</v>
      </c>
      <c r="B73" s="102" t="s">
        <v>875</v>
      </c>
    </row>
    <row r="75" spans="1:2" x14ac:dyDescent="0.25">
      <c r="A75" s="101" t="s">
        <v>754</v>
      </c>
    </row>
    <row r="76" spans="1:2" x14ac:dyDescent="0.25">
      <c r="A76" t="s">
        <v>876</v>
      </c>
      <c r="B76" s="102" t="s">
        <v>877</v>
      </c>
    </row>
    <row r="77" spans="1:2" x14ac:dyDescent="0.25">
      <c r="A77" t="s">
        <v>878</v>
      </c>
      <c r="B77" s="102" t="s">
        <v>879</v>
      </c>
    </row>
    <row r="78" spans="1:2" x14ac:dyDescent="0.25">
      <c r="A78" t="s">
        <v>880</v>
      </c>
      <c r="B78" s="102" t="s">
        <v>881</v>
      </c>
    </row>
    <row r="80" spans="1:2" x14ac:dyDescent="0.25">
      <c r="A80" s="101" t="s">
        <v>755</v>
      </c>
    </row>
    <row r="81" spans="1:2" x14ac:dyDescent="0.25">
      <c r="A81" t="s">
        <v>882</v>
      </c>
      <c r="B81" s="102" t="s">
        <v>883</v>
      </c>
    </row>
    <row r="82" spans="1:2" x14ac:dyDescent="0.25">
      <c r="A82" t="s">
        <v>884</v>
      </c>
      <c r="B82" s="102" t="s">
        <v>885</v>
      </c>
    </row>
    <row r="83" spans="1:2" x14ac:dyDescent="0.25">
      <c r="A83" t="s">
        <v>886</v>
      </c>
      <c r="B83" s="102" t="s">
        <v>887</v>
      </c>
    </row>
    <row r="84" spans="1:2" x14ac:dyDescent="0.25">
      <c r="A84" t="s">
        <v>888</v>
      </c>
      <c r="B84" s="102" t="s">
        <v>889</v>
      </c>
    </row>
    <row r="85" spans="1:2" x14ac:dyDescent="0.25">
      <c r="A85" t="s">
        <v>890</v>
      </c>
      <c r="B85" s="102" t="s">
        <v>891</v>
      </c>
    </row>
    <row r="86" spans="1:2" x14ac:dyDescent="0.25">
      <c r="A86" t="s">
        <v>893</v>
      </c>
      <c r="B86" s="102" t="s">
        <v>892</v>
      </c>
    </row>
    <row r="88" spans="1:2" x14ac:dyDescent="0.25">
      <c r="A88" s="101" t="s">
        <v>756</v>
      </c>
    </row>
    <row r="89" spans="1:2" x14ac:dyDescent="0.25">
      <c r="A89" t="s">
        <v>894</v>
      </c>
      <c r="B89" s="102" t="s">
        <v>913</v>
      </c>
    </row>
    <row r="90" spans="1:2" x14ac:dyDescent="0.25">
      <c r="A90" t="s">
        <v>896</v>
      </c>
      <c r="B90" s="102" t="s">
        <v>897</v>
      </c>
    </row>
    <row r="91" spans="1:2" x14ac:dyDescent="0.25">
      <c r="A91" t="s">
        <v>898</v>
      </c>
      <c r="B91" s="102" t="s">
        <v>899</v>
      </c>
    </row>
    <row r="92" spans="1:2" x14ac:dyDescent="0.25">
      <c r="A92" t="s">
        <v>900</v>
      </c>
      <c r="B92" s="102" t="s">
        <v>901</v>
      </c>
    </row>
    <row r="93" spans="1:2" x14ac:dyDescent="0.25">
      <c r="A93" t="s">
        <v>902</v>
      </c>
      <c r="B93" s="102" t="s">
        <v>903</v>
      </c>
    </row>
    <row r="94" spans="1:2" x14ac:dyDescent="0.25">
      <c r="A94" t="s">
        <v>904</v>
      </c>
      <c r="B94" s="102" t="s">
        <v>905</v>
      </c>
    </row>
    <row r="95" spans="1:2" x14ac:dyDescent="0.25">
      <c r="A95" t="s">
        <v>906</v>
      </c>
      <c r="B95" s="102" t="s">
        <v>895</v>
      </c>
    </row>
    <row r="97" spans="1:2" x14ac:dyDescent="0.25">
      <c r="A97" s="101" t="s">
        <v>757</v>
      </c>
    </row>
    <row r="98" spans="1:2" x14ac:dyDescent="0.25">
      <c r="A98" t="s">
        <v>907</v>
      </c>
      <c r="B98" s="102" t="s">
        <v>908</v>
      </c>
    </row>
    <row r="99" spans="1:2" x14ac:dyDescent="0.25">
      <c r="A99" t="s">
        <v>909</v>
      </c>
      <c r="B99" s="102" t="s">
        <v>910</v>
      </c>
    </row>
  </sheetData>
  <hyperlinks>
    <hyperlink ref="B32" r:id="rId1" xr:uid="{138A7BD7-0667-4296-923F-41B96D99635F}"/>
    <hyperlink ref="B33" r:id="rId2" xr:uid="{79FF4399-5611-4B8E-A489-12C0761341BF}"/>
    <hyperlink ref="B28" r:id="rId3" xr:uid="{FB7AB708-3291-40A3-8276-E9181C6294BB}"/>
    <hyperlink ref="B29" r:id="rId4" xr:uid="{52B332E7-9615-4EB5-B46E-5765E4485470}"/>
    <hyperlink ref="B30" r:id="rId5" xr:uid="{D057F3E8-C8D7-4C77-AFC0-D78BA8BF6F8E}"/>
    <hyperlink ref="B31" r:id="rId6" xr:uid="{F64DACCD-F8D6-4C1F-AF5E-D322C030522B}"/>
    <hyperlink ref="B34" r:id="rId7" xr:uid="{6EFC3247-D6D7-4C8D-B2B1-8F07EF79ABE9}"/>
    <hyperlink ref="B35" r:id="rId8" xr:uid="{5E801BCD-1ECB-4D91-AE8A-3222CACB64F1}"/>
    <hyperlink ref="B36" r:id="rId9" xr:uid="{E565B28C-C9EA-4A30-960D-6EF65ABCDE7B}"/>
    <hyperlink ref="B37" r:id="rId10" xr:uid="{37F5C312-8DC5-48FB-A404-DBF5C0CA2A67}"/>
    <hyperlink ref="B38" r:id="rId11" xr:uid="{62D0BB96-AA5F-49FE-9D57-BDC365388AA5}"/>
    <hyperlink ref="B39" r:id="rId12" xr:uid="{20AA70DB-1C41-4BCB-8211-DAFB4034DC42}"/>
    <hyperlink ref="B40" r:id="rId13" xr:uid="{C4467E0F-0559-4748-8EA0-81851C0DB4E6}"/>
    <hyperlink ref="B41" r:id="rId14" xr:uid="{20888EF2-B4DF-4560-8F1B-A83E886C30A6}"/>
    <hyperlink ref="B42" r:id="rId15" xr:uid="{1E24E484-0CE5-4C56-976B-4E3D9DD9889F}"/>
    <hyperlink ref="B43" r:id="rId16" xr:uid="{411F17F6-B0F5-485E-910E-AAF05923BBFC}"/>
    <hyperlink ref="B44" r:id="rId17" xr:uid="{FCFC3804-3D60-4DDE-B0C3-06DB68CDF327}"/>
    <hyperlink ref="B45" r:id="rId18" xr:uid="{C18B214F-73BD-4148-844F-B5F904B03EB7}"/>
    <hyperlink ref="B46" r:id="rId19" xr:uid="{ED58EC44-DE02-4EF5-9FF9-E7811C8EBD24}"/>
    <hyperlink ref="B47" r:id="rId20" xr:uid="{A4E4BF91-2002-40CD-8144-33604EE7BF54}"/>
    <hyperlink ref="B48" r:id="rId21" xr:uid="{0432160F-E2AC-4450-9E1B-78FF7686CD6A}"/>
    <hyperlink ref="B49" r:id="rId22" xr:uid="{7AB9A741-BF17-4EA9-82E9-824709F0A98C}"/>
    <hyperlink ref="B50" r:id="rId23" xr:uid="{3D120756-6640-4604-99EE-B6F79D3174AA}"/>
    <hyperlink ref="B25" r:id="rId24" xr:uid="{2FB90012-B9E9-40CB-A0A2-49FC70C2EAED}"/>
    <hyperlink ref="B9" r:id="rId25" xr:uid="{80C6A004-2958-4E88-B738-FBF3F2C12FDA}"/>
    <hyperlink ref="B10" r:id="rId26" xr:uid="{96F1C873-112B-4903-8239-F8838B83CF56}"/>
    <hyperlink ref="B11" r:id="rId27" xr:uid="{D39B800D-3261-449F-B997-8241741BCF8B}"/>
    <hyperlink ref="B12" r:id="rId28" xr:uid="{EA31D204-6EDA-4BB0-96DE-7B3C8705D0E2}"/>
    <hyperlink ref="B13" r:id="rId29" xr:uid="{FCFAEDCD-738C-4277-813C-711FFF79B304}"/>
    <hyperlink ref="B14" r:id="rId30" xr:uid="{4C1F5121-91A0-457F-B63D-34DEE9B83DE2}"/>
    <hyperlink ref="B15" r:id="rId31" xr:uid="{9D873562-01D0-4761-B202-1132DB3AEBF8}"/>
    <hyperlink ref="B16" r:id="rId32" xr:uid="{D5E96B15-AF67-43C1-8090-85E7FDF03F13}"/>
    <hyperlink ref="B17" r:id="rId33" xr:uid="{FD946022-E8EF-4E87-807D-A8223D7EF322}"/>
    <hyperlink ref="B18" r:id="rId34" xr:uid="{2A3380EA-025F-4DCB-A621-4E297A429697}"/>
    <hyperlink ref="B19" r:id="rId35" xr:uid="{79D58B9D-0DF9-4CEF-A5E9-2F468376D5E3}"/>
    <hyperlink ref="B20" r:id="rId36" xr:uid="{D1553F0F-252E-4231-85E9-A1AF20533D04}"/>
    <hyperlink ref="B21" r:id="rId37" xr:uid="{558C7F61-D42C-4E0E-89DE-CC2472D92064}"/>
    <hyperlink ref="B22" r:id="rId38" xr:uid="{06E758F2-B167-4037-86EA-1F407F7AEDF2}"/>
    <hyperlink ref="B23" r:id="rId39" xr:uid="{BE9D8CA3-B6C4-4312-83CD-26955A37F099}"/>
    <hyperlink ref="B24" r:id="rId40" xr:uid="{EF413131-E914-4F35-8A4C-B13F62E6C252}"/>
    <hyperlink ref="B4" r:id="rId41" xr:uid="{4B381399-83E4-44A9-A4A9-C37BEF797EA3}"/>
    <hyperlink ref="B5" r:id="rId42" xr:uid="{8A924F2E-74B3-4BAA-BE1F-84CE09065105}"/>
    <hyperlink ref="B6" r:id="rId43" xr:uid="{89E2D238-187F-4A4A-A766-4078D723CAF9}"/>
    <hyperlink ref="B53" r:id="rId44" xr:uid="{E9894AF2-9B87-4796-BF6F-80FDDCF44579}"/>
    <hyperlink ref="B54" r:id="rId45" xr:uid="{1F8E7294-032E-4C27-9CC6-133E846B4A90}"/>
    <hyperlink ref="B55" r:id="rId46" xr:uid="{3F71C397-6161-49E8-A15E-1B16BF3890BA}"/>
    <hyperlink ref="B56" r:id="rId47" xr:uid="{212442A0-C9AC-4DC2-B1A4-4229942FB6B1}"/>
    <hyperlink ref="B57" r:id="rId48" xr:uid="{FD5CAE05-898F-45DD-95C1-7FE74B0066B8}"/>
    <hyperlink ref="B60" r:id="rId49" xr:uid="{20FE1814-F7D5-40C5-81EE-9A79AB7808E7}"/>
    <hyperlink ref="B61" r:id="rId50" xr:uid="{61C16C64-CE09-4D27-AB1C-AEED1D087C9C}"/>
    <hyperlink ref="B62" r:id="rId51" xr:uid="{C8668F60-BCFA-4269-A52F-5050C3BE8FDD}"/>
    <hyperlink ref="B63" r:id="rId52" xr:uid="{BA0A36BD-A100-452C-8459-E0837569B337}"/>
    <hyperlink ref="B64" r:id="rId53" xr:uid="{DECBADAC-55B6-46EB-AF66-66527FD8413A}"/>
    <hyperlink ref="B67" r:id="rId54" xr:uid="{0C91F311-8043-43FF-8E74-B90D1680C76E}"/>
    <hyperlink ref="B68" r:id="rId55" xr:uid="{8E8EAED9-B581-4477-8348-ECC27347B3AD}"/>
    <hyperlink ref="B69" r:id="rId56" xr:uid="{AE4EDE8F-BA42-49A6-B9FB-56ACB06FC29E}"/>
    <hyperlink ref="B70" r:id="rId57" xr:uid="{DA66C7A9-E104-43CD-9925-1FA35C92B892}"/>
    <hyperlink ref="B71" r:id="rId58" xr:uid="{E2291ED2-4D41-4AAF-B9ED-BD21F1731705}"/>
    <hyperlink ref="B72" r:id="rId59" xr:uid="{110D4C3C-5DD8-4A53-B256-8CF994C812AF}"/>
    <hyperlink ref="B73" r:id="rId60" xr:uid="{278C2CAC-E5E6-4EDB-8D40-54D0AE67BC5E}"/>
    <hyperlink ref="B76" r:id="rId61" xr:uid="{D88168CC-F353-4F57-BA70-78991838A36A}"/>
    <hyperlink ref="B77" r:id="rId62" xr:uid="{849F3CB1-0DF9-4322-993F-7B957ADD2A62}"/>
    <hyperlink ref="B78" r:id="rId63" xr:uid="{5DE8CDA9-458E-4529-A243-1944B2D55B4B}"/>
    <hyperlink ref="B81" r:id="rId64" xr:uid="{1F7066D4-70DE-4B14-8B46-8C6CEE6890BD}"/>
    <hyperlink ref="B82" r:id="rId65" xr:uid="{69AF9EE6-7059-4BEE-8383-CEE59EE72A15}"/>
    <hyperlink ref="B83" r:id="rId66" xr:uid="{AF8099ED-03C2-4682-A4A8-039D45D8B461}"/>
    <hyperlink ref="B84" r:id="rId67" xr:uid="{F0275286-A155-413C-A0B0-E09D930CEC80}"/>
    <hyperlink ref="B85" r:id="rId68" xr:uid="{76792ADE-7702-46D8-8279-172D1F34D76D}"/>
    <hyperlink ref="B86" r:id="rId69" xr:uid="{6B4BC8D7-E66A-4F38-923C-87515C006B57}"/>
    <hyperlink ref="B90" r:id="rId70" xr:uid="{98313D35-73CB-40DF-87A2-BA3E7D6E2F23}"/>
    <hyperlink ref="B91" r:id="rId71" xr:uid="{C67152F8-5372-4C5E-A7B9-8FE16DFE40A2}"/>
    <hyperlink ref="B92" r:id="rId72" xr:uid="{82E4911C-883D-4C4D-AC3F-858C080954D5}"/>
    <hyperlink ref="B93" r:id="rId73" xr:uid="{C12B8348-4420-45CB-8D0D-205D9C67310E}"/>
    <hyperlink ref="B94" r:id="rId74" xr:uid="{83A36B27-632B-44E1-BD87-528BD4327831}"/>
    <hyperlink ref="B95" r:id="rId75" xr:uid="{D30D436A-8179-41B0-BB5D-E7535E33174C}"/>
    <hyperlink ref="B98" r:id="rId76" xr:uid="{AE1DF586-AAA0-47D0-AAD6-FBB52E570B4D}"/>
    <hyperlink ref="B99" r:id="rId77" xr:uid="{965085A0-F695-4292-A726-B2D69D3A7E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0E4D-C41C-46EA-A190-A5232C820263}">
  <sheetPr>
    <tabColor theme="6" tint="0.39997558519241921"/>
  </sheetPr>
  <dimension ref="A1:K163"/>
  <sheetViews>
    <sheetView tabSelected="1" workbookViewId="0"/>
  </sheetViews>
  <sheetFormatPr defaultColWidth="9.140625" defaultRowHeight="18.75" x14ac:dyDescent="0.3"/>
  <cols>
    <col min="1" max="1" width="23.85546875" style="20" customWidth="1"/>
    <col min="2" max="2" width="20.7109375" style="10" customWidth="1"/>
    <col min="3" max="6" width="15.7109375" style="10" customWidth="1"/>
    <col min="7" max="9" width="9.140625" style="10"/>
    <col min="10" max="10" width="20.7109375" style="12" customWidth="1"/>
    <col min="11" max="11" width="20.7109375" style="10" customWidth="1"/>
    <col min="12" max="16384" width="9.140625" style="10"/>
  </cols>
  <sheetData>
    <row r="1" spans="1:11" ht="24" customHeight="1" x14ac:dyDescent="0.35">
      <c r="A1" s="5" t="s">
        <v>118</v>
      </c>
      <c r="J1" s="31" t="s">
        <v>230</v>
      </c>
      <c r="K1" s="31" t="s">
        <v>231</v>
      </c>
    </row>
    <row r="2" spans="1:11" x14ac:dyDescent="0.3">
      <c r="J2" s="32" t="s">
        <v>232</v>
      </c>
      <c r="K2" s="32" t="s">
        <v>233</v>
      </c>
    </row>
    <row r="3" spans="1:11" x14ac:dyDescent="0.3">
      <c r="J3" s="32">
        <v>1</v>
      </c>
      <c r="K3" s="32" t="s">
        <v>234</v>
      </c>
    </row>
    <row r="4" spans="1:11" x14ac:dyDescent="0.3">
      <c r="A4" s="19" t="s">
        <v>119</v>
      </c>
      <c r="B4" s="10" t="s">
        <v>120</v>
      </c>
      <c r="J4" s="32">
        <v>2</v>
      </c>
      <c r="K4" s="32" t="s">
        <v>235</v>
      </c>
    </row>
    <row r="5" spans="1:11" x14ac:dyDescent="0.3">
      <c r="A5" s="19"/>
      <c r="B5" s="10" t="s">
        <v>121</v>
      </c>
      <c r="J5" s="32">
        <v>3</v>
      </c>
      <c r="K5" s="32" t="s">
        <v>236</v>
      </c>
    </row>
    <row r="6" spans="1:11" x14ac:dyDescent="0.3">
      <c r="A6" s="19"/>
      <c r="J6" s="32">
        <v>4</v>
      </c>
      <c r="K6" s="32" t="s">
        <v>237</v>
      </c>
    </row>
    <row r="7" spans="1:11" x14ac:dyDescent="0.3">
      <c r="A7" s="19"/>
      <c r="B7" s="10" t="s">
        <v>122</v>
      </c>
      <c r="C7" s="11">
        <v>43101</v>
      </c>
      <c r="E7" s="12" t="s">
        <v>123</v>
      </c>
    </row>
    <row r="8" spans="1:11" x14ac:dyDescent="0.3">
      <c r="B8" s="10" t="s">
        <v>124</v>
      </c>
      <c r="C8" s="11">
        <v>43221</v>
      </c>
      <c r="E8" s="13">
        <f>ACCRINT(C7,C8,C9,C11,C10,C12)</f>
        <v>799.99999999999989</v>
      </c>
    </row>
    <row r="9" spans="1:11" x14ac:dyDescent="0.3">
      <c r="B9" s="10" t="s">
        <v>125</v>
      </c>
      <c r="C9" s="11">
        <v>43830</v>
      </c>
    </row>
    <row r="10" spans="1:11" x14ac:dyDescent="0.3">
      <c r="B10" s="10" t="s">
        <v>126</v>
      </c>
      <c r="C10" s="14">
        <v>10000</v>
      </c>
      <c r="J10" s="33" t="s">
        <v>238</v>
      </c>
      <c r="K10" s="34"/>
    </row>
    <row r="11" spans="1:11" x14ac:dyDescent="0.3">
      <c r="B11" s="10" t="s">
        <v>127</v>
      </c>
      <c r="C11" s="15">
        <v>0.04</v>
      </c>
      <c r="J11" s="32">
        <v>1</v>
      </c>
      <c r="K11" s="32" t="s">
        <v>239</v>
      </c>
    </row>
    <row r="12" spans="1:11" x14ac:dyDescent="0.3">
      <c r="B12" s="10" t="s">
        <v>128</v>
      </c>
      <c r="C12" s="10">
        <v>4</v>
      </c>
      <c r="J12" s="32">
        <v>2</v>
      </c>
      <c r="K12" s="32" t="s">
        <v>240</v>
      </c>
    </row>
    <row r="13" spans="1:11" x14ac:dyDescent="0.3">
      <c r="J13" s="32">
        <v>4</v>
      </c>
      <c r="K13" s="32" t="s">
        <v>241</v>
      </c>
    </row>
    <row r="15" spans="1:11" x14ac:dyDescent="0.3">
      <c r="A15" s="19" t="s">
        <v>129</v>
      </c>
      <c r="B15" s="10" t="s">
        <v>130</v>
      </c>
    </row>
    <row r="16" spans="1:11" x14ac:dyDescent="0.3">
      <c r="B16" s="10" t="s">
        <v>131</v>
      </c>
    </row>
    <row r="18" spans="1:5" x14ac:dyDescent="0.3">
      <c r="B18" s="10" t="s">
        <v>122</v>
      </c>
      <c r="C18" s="11">
        <v>43101</v>
      </c>
      <c r="E18" s="12" t="s">
        <v>123</v>
      </c>
    </row>
    <row r="19" spans="1:5" x14ac:dyDescent="0.3">
      <c r="B19" s="10" t="s">
        <v>125</v>
      </c>
      <c r="C19" s="11">
        <v>43830</v>
      </c>
      <c r="E19" s="13">
        <f>ACCRINTM(C18,C19,C21,C20)</f>
        <v>800</v>
      </c>
    </row>
    <row r="20" spans="1:5" x14ac:dyDescent="0.3">
      <c r="B20" s="10" t="s">
        <v>126</v>
      </c>
      <c r="C20" s="14">
        <v>10000</v>
      </c>
    </row>
    <row r="21" spans="1:5" x14ac:dyDescent="0.3">
      <c r="B21" s="10" t="s">
        <v>127</v>
      </c>
      <c r="C21" s="15">
        <v>0.04</v>
      </c>
    </row>
    <row r="24" spans="1:5" x14ac:dyDescent="0.3">
      <c r="A24" s="19" t="s">
        <v>132</v>
      </c>
      <c r="B24" s="10" t="s">
        <v>133</v>
      </c>
    </row>
    <row r="25" spans="1:5" x14ac:dyDescent="0.3">
      <c r="B25" s="10" t="s">
        <v>134</v>
      </c>
    </row>
    <row r="27" spans="1:5" x14ac:dyDescent="0.3">
      <c r="B27" s="10" t="s">
        <v>125</v>
      </c>
      <c r="C27" s="11">
        <v>43191</v>
      </c>
      <c r="E27" s="10" t="s">
        <v>135</v>
      </c>
    </row>
    <row r="28" spans="1:5" x14ac:dyDescent="0.3">
      <c r="B28" s="10" t="s">
        <v>136</v>
      </c>
      <c r="C28" s="11">
        <v>44256</v>
      </c>
      <c r="E28" s="16">
        <f>DISC(C27,C28,C29,C30)</f>
        <v>2.5371428571428593E-2</v>
      </c>
    </row>
    <row r="29" spans="1:5" x14ac:dyDescent="0.3">
      <c r="B29" s="10" t="s">
        <v>137</v>
      </c>
      <c r="C29" s="14">
        <v>92.6</v>
      </c>
    </row>
    <row r="30" spans="1:5" x14ac:dyDescent="0.3">
      <c r="B30" s="10" t="s">
        <v>138</v>
      </c>
      <c r="C30" s="14">
        <v>100</v>
      </c>
    </row>
    <row r="33" spans="1:5" x14ac:dyDescent="0.3">
      <c r="A33" s="19" t="s">
        <v>139</v>
      </c>
      <c r="B33" s="10" t="s">
        <v>140</v>
      </c>
    </row>
    <row r="34" spans="1:5" x14ac:dyDescent="0.3">
      <c r="B34" s="10" t="s">
        <v>141</v>
      </c>
    </row>
    <row r="36" spans="1:5" x14ac:dyDescent="0.3">
      <c r="B36" s="10" t="s">
        <v>125</v>
      </c>
      <c r="C36" s="11">
        <v>43191</v>
      </c>
      <c r="E36" s="12" t="s">
        <v>142</v>
      </c>
    </row>
    <row r="37" spans="1:5" x14ac:dyDescent="0.3">
      <c r="B37" s="10" t="s">
        <v>136</v>
      </c>
      <c r="C37" s="11">
        <v>44286</v>
      </c>
      <c r="E37" s="17">
        <f>DURATION(C36,C37,C38,C39,C40)</f>
        <v>2.6371515856181773</v>
      </c>
    </row>
    <row r="38" spans="1:5" x14ac:dyDescent="0.3">
      <c r="B38" s="10" t="s">
        <v>143</v>
      </c>
      <c r="C38" s="50">
        <v>0.1</v>
      </c>
    </row>
    <row r="39" spans="1:5" x14ac:dyDescent="0.3">
      <c r="B39" s="10" t="s">
        <v>144</v>
      </c>
      <c r="C39" s="50">
        <v>0.08</v>
      </c>
    </row>
    <row r="40" spans="1:5" x14ac:dyDescent="0.3">
      <c r="B40" s="10" t="s">
        <v>145</v>
      </c>
      <c r="C40" s="10">
        <v>4</v>
      </c>
    </row>
    <row r="43" spans="1:5" x14ac:dyDescent="0.3">
      <c r="A43" s="19" t="s">
        <v>146</v>
      </c>
      <c r="B43" s="10" t="s">
        <v>147</v>
      </c>
    </row>
    <row r="44" spans="1:5" x14ac:dyDescent="0.3">
      <c r="B44" s="10" t="s">
        <v>148</v>
      </c>
    </row>
    <row r="46" spans="1:5" x14ac:dyDescent="0.3">
      <c r="B46" s="10" t="s">
        <v>125</v>
      </c>
      <c r="C46" s="11">
        <v>43191</v>
      </c>
      <c r="E46" s="12" t="s">
        <v>149</v>
      </c>
    </row>
    <row r="47" spans="1:5" x14ac:dyDescent="0.3">
      <c r="B47" s="10" t="s">
        <v>136</v>
      </c>
      <c r="C47" s="11">
        <v>45016</v>
      </c>
      <c r="E47" s="16">
        <f>INTRATE(C46,C47,C48,C49)</f>
        <v>2.9499999999999998E-2</v>
      </c>
    </row>
    <row r="48" spans="1:5" x14ac:dyDescent="0.3">
      <c r="B48" s="10" t="s">
        <v>150</v>
      </c>
      <c r="C48" s="14">
        <v>100000</v>
      </c>
    </row>
    <row r="49" spans="1:5" x14ac:dyDescent="0.3">
      <c r="B49" s="10" t="s">
        <v>151</v>
      </c>
      <c r="C49" s="14">
        <v>114750</v>
      </c>
    </row>
    <row r="52" spans="1:5" x14ac:dyDescent="0.3">
      <c r="A52" s="19" t="s">
        <v>152</v>
      </c>
      <c r="B52" s="10" t="s">
        <v>153</v>
      </c>
    </row>
    <row r="53" spans="1:5" x14ac:dyDescent="0.3">
      <c r="B53" s="10" t="s">
        <v>154</v>
      </c>
    </row>
    <row r="55" spans="1:5" x14ac:dyDescent="0.3">
      <c r="B55" s="10" t="s">
        <v>125</v>
      </c>
      <c r="C55" s="11">
        <v>43191</v>
      </c>
      <c r="E55" s="12" t="s">
        <v>142</v>
      </c>
    </row>
    <row r="56" spans="1:5" x14ac:dyDescent="0.3">
      <c r="B56" s="10" t="s">
        <v>136</v>
      </c>
      <c r="C56" s="11">
        <v>44286</v>
      </c>
      <c r="E56" s="17">
        <f>MDURATION(C55,C56,C57,C58,C59)</f>
        <v>2.5854427309982131</v>
      </c>
    </row>
    <row r="57" spans="1:5" x14ac:dyDescent="0.3">
      <c r="B57" s="10" t="s">
        <v>143</v>
      </c>
      <c r="C57" s="50">
        <v>0.1</v>
      </c>
    </row>
    <row r="58" spans="1:5" x14ac:dyDescent="0.3">
      <c r="B58" s="10" t="s">
        <v>144</v>
      </c>
      <c r="C58" s="50">
        <v>0.08</v>
      </c>
    </row>
    <row r="59" spans="1:5" x14ac:dyDescent="0.3">
      <c r="B59" s="10" t="s">
        <v>145</v>
      </c>
      <c r="C59" s="10">
        <v>4</v>
      </c>
    </row>
    <row r="62" spans="1:5" x14ac:dyDescent="0.3">
      <c r="A62" s="19" t="s">
        <v>155</v>
      </c>
      <c r="B62" s="10" t="s">
        <v>156</v>
      </c>
    </row>
    <row r="63" spans="1:5" x14ac:dyDescent="0.3">
      <c r="B63" s="10" t="s">
        <v>157</v>
      </c>
    </row>
    <row r="65" spans="1:5" x14ac:dyDescent="0.3">
      <c r="B65" s="10" t="s">
        <v>122</v>
      </c>
      <c r="C65" s="11">
        <v>42705</v>
      </c>
      <c r="E65" s="12" t="s">
        <v>158</v>
      </c>
    </row>
    <row r="66" spans="1:5" x14ac:dyDescent="0.3">
      <c r="B66" s="10" t="s">
        <v>159</v>
      </c>
      <c r="C66" s="11">
        <v>42825</v>
      </c>
      <c r="E66" s="13">
        <f>ODDFPRICE(C67,C68,C65,C66,C69,C70,100,C71)</f>
        <v>106.77169500099879</v>
      </c>
    </row>
    <row r="67" spans="1:5" x14ac:dyDescent="0.3">
      <c r="B67" s="10" t="s">
        <v>125</v>
      </c>
      <c r="C67" s="11">
        <v>42767</v>
      </c>
    </row>
    <row r="68" spans="1:5" x14ac:dyDescent="0.3">
      <c r="B68" s="10" t="s">
        <v>136</v>
      </c>
      <c r="C68" s="11">
        <v>44286</v>
      </c>
    </row>
    <row r="69" spans="1:5" x14ac:dyDescent="0.3">
      <c r="B69" s="10" t="s">
        <v>127</v>
      </c>
      <c r="C69" s="15">
        <v>5.5E-2</v>
      </c>
    </row>
    <row r="70" spans="1:5" x14ac:dyDescent="0.3">
      <c r="B70" s="10" t="s">
        <v>160</v>
      </c>
      <c r="C70" s="15">
        <v>3.5000000000000003E-2</v>
      </c>
    </row>
    <row r="71" spans="1:5" x14ac:dyDescent="0.3">
      <c r="B71" s="10" t="s">
        <v>128</v>
      </c>
      <c r="C71" s="10">
        <v>4</v>
      </c>
    </row>
    <row r="74" spans="1:5" x14ac:dyDescent="0.3">
      <c r="A74" s="19" t="s">
        <v>161</v>
      </c>
      <c r="B74" s="10" t="s">
        <v>162</v>
      </c>
    </row>
    <row r="75" spans="1:5" x14ac:dyDescent="0.3">
      <c r="B75" s="10" t="s">
        <v>163</v>
      </c>
    </row>
    <row r="77" spans="1:5" x14ac:dyDescent="0.3">
      <c r="B77" s="10" t="s">
        <v>122</v>
      </c>
      <c r="C77" s="11">
        <v>42809</v>
      </c>
      <c r="E77" s="12" t="s">
        <v>164</v>
      </c>
    </row>
    <row r="78" spans="1:5" x14ac:dyDescent="0.3">
      <c r="B78" s="10" t="s">
        <v>159</v>
      </c>
      <c r="C78" s="11">
        <v>42916</v>
      </c>
      <c r="E78" s="16">
        <f>ODDFYIELD(C79,C80,C77,C78,C81,C82,100,C83)</f>
        <v>4.6508494419026936E-2</v>
      </c>
    </row>
    <row r="79" spans="1:5" x14ac:dyDescent="0.3">
      <c r="B79" s="10" t="s">
        <v>125</v>
      </c>
      <c r="C79" s="11">
        <v>42856</v>
      </c>
    </row>
    <row r="80" spans="1:5" x14ac:dyDescent="0.3">
      <c r="B80" s="10" t="s">
        <v>136</v>
      </c>
      <c r="C80" s="11">
        <v>44377</v>
      </c>
    </row>
    <row r="81" spans="1:5" x14ac:dyDescent="0.3">
      <c r="B81" s="10" t="s">
        <v>165</v>
      </c>
      <c r="C81" s="15">
        <v>5.5E-2</v>
      </c>
    </row>
    <row r="82" spans="1:5" x14ac:dyDescent="0.3">
      <c r="B82" s="10" t="s">
        <v>166</v>
      </c>
      <c r="C82" s="10">
        <v>102</v>
      </c>
    </row>
    <row r="83" spans="1:5" x14ac:dyDescent="0.3">
      <c r="B83" s="10" t="s">
        <v>128</v>
      </c>
      <c r="C83" s="10">
        <v>4</v>
      </c>
    </row>
    <row r="86" spans="1:5" x14ac:dyDescent="0.3">
      <c r="A86" s="19" t="s">
        <v>167</v>
      </c>
      <c r="B86" s="10" t="s">
        <v>168</v>
      </c>
    </row>
    <row r="87" spans="1:5" x14ac:dyDescent="0.3">
      <c r="A87" s="19"/>
      <c r="B87" s="10" t="s">
        <v>169</v>
      </c>
    </row>
    <row r="89" spans="1:5" x14ac:dyDescent="0.3">
      <c r="B89" s="10" t="s">
        <v>125</v>
      </c>
      <c r="C89" s="11">
        <v>42840</v>
      </c>
      <c r="E89" s="12" t="s">
        <v>170</v>
      </c>
    </row>
    <row r="90" spans="1:5" x14ac:dyDescent="0.3">
      <c r="B90" s="10" t="s">
        <v>136</v>
      </c>
      <c r="C90" s="11">
        <v>42916</v>
      </c>
      <c r="E90" s="16">
        <f>ODDLYIELD(C89,C90,C91,C92,C93,100,C94)</f>
        <v>7.3601326150020283E-2</v>
      </c>
    </row>
    <row r="91" spans="1:5" x14ac:dyDescent="0.3">
      <c r="B91" s="10" t="s">
        <v>171</v>
      </c>
      <c r="C91" s="11">
        <v>42766</v>
      </c>
    </row>
    <row r="92" spans="1:5" x14ac:dyDescent="0.3">
      <c r="B92" s="10" t="s">
        <v>165</v>
      </c>
      <c r="C92" s="15">
        <v>0.05</v>
      </c>
    </row>
    <row r="93" spans="1:5" x14ac:dyDescent="0.3">
      <c r="B93" s="10" t="s">
        <v>166</v>
      </c>
      <c r="C93" s="10">
        <v>99.5</v>
      </c>
    </row>
    <row r="94" spans="1:5" x14ac:dyDescent="0.3">
      <c r="B94" s="10" t="s">
        <v>128</v>
      </c>
      <c r="C94" s="10">
        <v>4</v>
      </c>
    </row>
    <row r="97" spans="1:5" x14ac:dyDescent="0.3">
      <c r="A97" s="19" t="s">
        <v>172</v>
      </c>
      <c r="B97" s="10" t="s">
        <v>173</v>
      </c>
    </row>
    <row r="98" spans="1:5" x14ac:dyDescent="0.3">
      <c r="B98" s="10" t="s">
        <v>174</v>
      </c>
    </row>
    <row r="100" spans="1:5" x14ac:dyDescent="0.3">
      <c r="B100" s="10" t="s">
        <v>125</v>
      </c>
      <c r="C100" s="11">
        <v>41000</v>
      </c>
      <c r="E100" s="12" t="s">
        <v>166</v>
      </c>
    </row>
    <row r="101" spans="1:5" x14ac:dyDescent="0.3">
      <c r="B101" s="10" t="s">
        <v>136</v>
      </c>
      <c r="C101" s="11">
        <v>43921</v>
      </c>
      <c r="E101" s="17">
        <f>PRICE(C100,C101,C102,C103,C104,C105)</f>
        <v>110.83448359321567</v>
      </c>
    </row>
    <row r="102" spans="1:5" x14ac:dyDescent="0.3">
      <c r="B102" s="10" t="s">
        <v>175</v>
      </c>
      <c r="C102" s="15">
        <v>0.12</v>
      </c>
    </row>
    <row r="103" spans="1:5" x14ac:dyDescent="0.3">
      <c r="B103" s="10" t="s">
        <v>144</v>
      </c>
      <c r="C103" s="15">
        <v>0.1</v>
      </c>
    </row>
    <row r="104" spans="1:5" x14ac:dyDescent="0.3">
      <c r="B104" s="10" t="s">
        <v>176</v>
      </c>
      <c r="C104" s="10">
        <v>100</v>
      </c>
    </row>
    <row r="105" spans="1:5" x14ac:dyDescent="0.3">
      <c r="B105" s="10" t="s">
        <v>177</v>
      </c>
      <c r="C105" s="10">
        <v>2</v>
      </c>
    </row>
    <row r="108" spans="1:5" x14ac:dyDescent="0.3">
      <c r="A108" s="19" t="s">
        <v>178</v>
      </c>
      <c r="B108" s="10" t="s">
        <v>179</v>
      </c>
    </row>
    <row r="109" spans="1:5" x14ac:dyDescent="0.3">
      <c r="B109" s="10" t="s">
        <v>180</v>
      </c>
    </row>
    <row r="111" spans="1:5" x14ac:dyDescent="0.3">
      <c r="B111" s="10" t="s">
        <v>125</v>
      </c>
      <c r="C111" s="11">
        <v>42826</v>
      </c>
      <c r="E111" s="12" t="s">
        <v>181</v>
      </c>
    </row>
    <row r="112" spans="1:5" x14ac:dyDescent="0.3">
      <c r="B112" s="10" t="s">
        <v>136</v>
      </c>
      <c r="C112" s="11">
        <v>44286</v>
      </c>
      <c r="E112" s="17">
        <f>PRICEDISC(C111,C112,C113,C114)</f>
        <v>90</v>
      </c>
    </row>
    <row r="113" spans="1:5" x14ac:dyDescent="0.3">
      <c r="B113" s="10" t="s">
        <v>182</v>
      </c>
      <c r="C113" s="15">
        <v>2.5000000000000001E-2</v>
      </c>
    </row>
    <row r="114" spans="1:5" x14ac:dyDescent="0.3">
      <c r="B114" s="10" t="s">
        <v>176</v>
      </c>
      <c r="C114" s="10">
        <v>100</v>
      </c>
    </row>
    <row r="117" spans="1:5" x14ac:dyDescent="0.3">
      <c r="A117" s="19" t="s">
        <v>183</v>
      </c>
      <c r="B117" s="10" t="s">
        <v>184</v>
      </c>
    </row>
    <row r="118" spans="1:5" x14ac:dyDescent="0.3">
      <c r="B118" s="10" t="s">
        <v>185</v>
      </c>
    </row>
    <row r="120" spans="1:5" x14ac:dyDescent="0.3">
      <c r="B120" s="10" t="s">
        <v>125</v>
      </c>
      <c r="C120" s="11">
        <v>42826</v>
      </c>
      <c r="E120" s="12" t="s">
        <v>186</v>
      </c>
    </row>
    <row r="121" spans="1:5" x14ac:dyDescent="0.3">
      <c r="B121" s="10" t="s">
        <v>136</v>
      </c>
      <c r="C121" s="11">
        <v>44286</v>
      </c>
      <c r="E121" s="17">
        <f>PRICEMAT(C120,C121,C122,C123,C124)</f>
        <v>107.17045454545453</v>
      </c>
    </row>
    <row r="122" spans="1:5" x14ac:dyDescent="0.3">
      <c r="B122" s="10" t="s">
        <v>122</v>
      </c>
      <c r="C122" s="11">
        <v>42736</v>
      </c>
    </row>
    <row r="123" spans="1:5" x14ac:dyDescent="0.3">
      <c r="B123" s="10" t="s">
        <v>165</v>
      </c>
      <c r="C123" s="15">
        <v>4.4999999999999998E-2</v>
      </c>
    </row>
    <row r="124" spans="1:5" x14ac:dyDescent="0.3">
      <c r="B124" s="10" t="s">
        <v>160</v>
      </c>
      <c r="C124" s="15">
        <v>2.5000000000000001E-2</v>
      </c>
    </row>
    <row r="127" spans="1:5" x14ac:dyDescent="0.3">
      <c r="A127" s="19" t="s">
        <v>187</v>
      </c>
      <c r="B127" s="10" t="s">
        <v>188</v>
      </c>
    </row>
    <row r="128" spans="1:5" x14ac:dyDescent="0.3">
      <c r="B128" s="10" t="s">
        <v>189</v>
      </c>
    </row>
    <row r="130" spans="1:5" x14ac:dyDescent="0.3">
      <c r="B130" s="10" t="s">
        <v>125</v>
      </c>
      <c r="C130" s="11">
        <v>40634</v>
      </c>
      <c r="E130" s="12" t="s">
        <v>190</v>
      </c>
    </row>
    <row r="131" spans="1:5" x14ac:dyDescent="0.3">
      <c r="B131" s="10" t="s">
        <v>136</v>
      </c>
      <c r="C131" s="11">
        <v>42460</v>
      </c>
      <c r="E131" s="13">
        <f>RECEIVED(C130,C131,C132,C133)</f>
        <v>1290.3225806451612</v>
      </c>
    </row>
    <row r="132" spans="1:5" x14ac:dyDescent="0.3">
      <c r="B132" s="10" t="s">
        <v>191</v>
      </c>
      <c r="C132" s="14">
        <v>1000</v>
      </c>
    </row>
    <row r="133" spans="1:5" x14ac:dyDescent="0.3">
      <c r="B133" s="10" t="s">
        <v>192</v>
      </c>
      <c r="C133" s="15">
        <v>4.4999999999999998E-2</v>
      </c>
    </row>
    <row r="134" spans="1:5" x14ac:dyDescent="0.3">
      <c r="C134" s="15"/>
    </row>
    <row r="136" spans="1:5" x14ac:dyDescent="0.3">
      <c r="A136" s="19" t="s">
        <v>193</v>
      </c>
      <c r="B136" s="2" t="s">
        <v>194</v>
      </c>
    </row>
    <row r="137" spans="1:5" x14ac:dyDescent="0.3">
      <c r="B137" s="10" t="s">
        <v>195</v>
      </c>
    </row>
    <row r="139" spans="1:5" x14ac:dyDescent="0.3">
      <c r="B139" s="10" t="s">
        <v>125</v>
      </c>
      <c r="C139" s="11">
        <v>40179</v>
      </c>
      <c r="E139" s="12" t="s">
        <v>144</v>
      </c>
    </row>
    <row r="140" spans="1:5" x14ac:dyDescent="0.3">
      <c r="B140" s="10" t="s">
        <v>136</v>
      </c>
      <c r="C140" s="11">
        <v>42185</v>
      </c>
      <c r="E140" s="16">
        <f>YIELD(C139,C140,C141,C142,C143,C144)</f>
        <v>9.7626935564399386E-2</v>
      </c>
    </row>
    <row r="141" spans="1:5" x14ac:dyDescent="0.3">
      <c r="B141" s="10" t="s">
        <v>165</v>
      </c>
      <c r="C141" s="15">
        <v>0.1</v>
      </c>
    </row>
    <row r="142" spans="1:5" x14ac:dyDescent="0.3">
      <c r="B142" s="10" t="s">
        <v>196</v>
      </c>
      <c r="C142" s="14">
        <v>101</v>
      </c>
    </row>
    <row r="143" spans="1:5" x14ac:dyDescent="0.3">
      <c r="B143" s="10" t="s">
        <v>151</v>
      </c>
      <c r="C143" s="14">
        <v>100</v>
      </c>
    </row>
    <row r="144" spans="1:5" x14ac:dyDescent="0.3">
      <c r="B144" s="10" t="s">
        <v>197</v>
      </c>
      <c r="C144" s="10">
        <v>4</v>
      </c>
    </row>
    <row r="147" spans="1:5" x14ac:dyDescent="0.3">
      <c r="A147" s="19" t="s">
        <v>198</v>
      </c>
      <c r="B147" s="10" t="s">
        <v>199</v>
      </c>
    </row>
    <row r="148" spans="1:5" x14ac:dyDescent="0.3">
      <c r="B148" s="10" t="s">
        <v>200</v>
      </c>
    </row>
    <row r="150" spans="1:5" x14ac:dyDescent="0.3">
      <c r="B150" s="10" t="s">
        <v>125</v>
      </c>
      <c r="C150" s="11">
        <v>42736</v>
      </c>
      <c r="E150" s="12" t="s">
        <v>201</v>
      </c>
    </row>
    <row r="151" spans="1:5" x14ac:dyDescent="0.3">
      <c r="B151" s="10" t="s">
        <v>136</v>
      </c>
      <c r="C151" s="11">
        <v>42916</v>
      </c>
      <c r="E151" s="16">
        <f>YIELDDISC(C150,C151,C152,C153)</f>
        <v>6.2201232505903363E-2</v>
      </c>
    </row>
    <row r="152" spans="1:5" x14ac:dyDescent="0.3">
      <c r="B152" s="10" t="s">
        <v>196</v>
      </c>
      <c r="C152" s="14">
        <v>97</v>
      </c>
    </row>
    <row r="153" spans="1:5" x14ac:dyDescent="0.3">
      <c r="B153" s="10" t="s">
        <v>151</v>
      </c>
      <c r="C153" s="14">
        <v>100</v>
      </c>
    </row>
    <row r="156" spans="1:5" x14ac:dyDescent="0.3">
      <c r="A156" s="19" t="s">
        <v>202</v>
      </c>
      <c r="B156" s="10" t="s">
        <v>203</v>
      </c>
    </row>
    <row r="157" spans="1:5" x14ac:dyDescent="0.3">
      <c r="B157" s="10" t="s">
        <v>204</v>
      </c>
    </row>
    <row r="159" spans="1:5" x14ac:dyDescent="0.3">
      <c r="B159" s="10" t="s">
        <v>125</v>
      </c>
      <c r="C159" s="11">
        <v>42736</v>
      </c>
      <c r="E159" s="12" t="s">
        <v>205</v>
      </c>
    </row>
    <row r="160" spans="1:5" x14ac:dyDescent="0.3">
      <c r="B160" s="10" t="s">
        <v>136</v>
      </c>
      <c r="C160" s="11">
        <v>43281</v>
      </c>
      <c r="E160" s="16">
        <f>YIELDMAT(C159,C160,C161,C162,C163)</f>
        <v>4.2109773202210252E-2</v>
      </c>
    </row>
    <row r="161" spans="2:3" x14ac:dyDescent="0.3">
      <c r="B161" s="10" t="s">
        <v>122</v>
      </c>
      <c r="C161" s="11">
        <v>41821</v>
      </c>
    </row>
    <row r="162" spans="2:3" x14ac:dyDescent="0.3">
      <c r="B162" s="10" t="s">
        <v>165</v>
      </c>
      <c r="C162" s="15">
        <v>5.5E-2</v>
      </c>
    </row>
    <row r="163" spans="2:3" x14ac:dyDescent="0.3">
      <c r="B163" s="10" t="s">
        <v>166</v>
      </c>
      <c r="C163" s="14">
        <v>101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5688-8FF6-4060-B487-03F431AA6D0B}">
  <sheetPr>
    <tabColor theme="6" tint="0.39997558519241921"/>
  </sheetPr>
  <dimension ref="A1:E22"/>
  <sheetViews>
    <sheetView workbookViewId="0"/>
  </sheetViews>
  <sheetFormatPr defaultColWidth="9.140625" defaultRowHeight="15.75" x14ac:dyDescent="0.25"/>
  <cols>
    <col min="1" max="1" width="23.85546875" style="10" customWidth="1"/>
    <col min="2" max="6" width="15.7109375" style="10" customWidth="1"/>
    <col min="7" max="16384" width="9.140625" style="10"/>
  </cols>
  <sheetData>
    <row r="1" spans="1:5" ht="23.25" x14ac:dyDescent="0.35">
      <c r="A1" s="5" t="s">
        <v>206</v>
      </c>
    </row>
    <row r="4" spans="1:5" ht="18.75" x14ac:dyDescent="0.3">
      <c r="A4" s="19" t="s">
        <v>207</v>
      </c>
      <c r="B4" s="10" t="s">
        <v>208</v>
      </c>
    </row>
    <row r="5" spans="1:5" x14ac:dyDescent="0.25">
      <c r="A5" s="24"/>
      <c r="B5" s="10" t="s">
        <v>209</v>
      </c>
    </row>
    <row r="6" spans="1:5" x14ac:dyDescent="0.25">
      <c r="A6" s="24"/>
    </row>
    <row r="7" spans="1:5" x14ac:dyDescent="0.25">
      <c r="A7" s="24"/>
      <c r="B7" s="25" t="s">
        <v>210</v>
      </c>
      <c r="C7" s="25" t="s">
        <v>211</v>
      </c>
      <c r="D7" s="25" t="s">
        <v>212</v>
      </c>
    </row>
    <row r="8" spans="1:5" x14ac:dyDescent="0.25">
      <c r="B8" s="26">
        <v>0.04</v>
      </c>
      <c r="C8" s="27">
        <v>1</v>
      </c>
      <c r="D8" s="28">
        <f>EFFECT(B8,C8)</f>
        <v>4.0000000000000036E-2</v>
      </c>
    </row>
    <row r="9" spans="1:5" x14ac:dyDescent="0.25">
      <c r="B9" s="26">
        <v>0.04</v>
      </c>
      <c r="C9" s="27">
        <v>2</v>
      </c>
      <c r="D9" s="28">
        <f>EFFECT(B9,C9)</f>
        <v>4.0399999999999991E-2</v>
      </c>
    </row>
    <row r="10" spans="1:5" x14ac:dyDescent="0.25">
      <c r="B10" s="26">
        <v>0.04</v>
      </c>
      <c r="C10" s="27">
        <v>4</v>
      </c>
      <c r="D10" s="28">
        <f>EFFECT(B10,C10)</f>
        <v>4.0604010000000024E-2</v>
      </c>
    </row>
    <row r="11" spans="1:5" x14ac:dyDescent="0.25">
      <c r="B11" s="26">
        <v>0.04</v>
      </c>
      <c r="C11" s="27">
        <v>12</v>
      </c>
      <c r="D11" s="28">
        <f>EFFECT(B11,C11)</f>
        <v>4.0741542919790819E-2</v>
      </c>
    </row>
    <row r="12" spans="1:5" x14ac:dyDescent="0.25">
      <c r="C12" s="29"/>
      <c r="D12" s="14"/>
      <c r="E12" s="14"/>
    </row>
    <row r="14" spans="1:5" ht="18.75" x14ac:dyDescent="0.3">
      <c r="A14" s="19" t="s">
        <v>213</v>
      </c>
      <c r="B14" s="10" t="s">
        <v>214</v>
      </c>
      <c r="C14" s="30"/>
    </row>
    <row r="15" spans="1:5" x14ac:dyDescent="0.25">
      <c r="B15" s="10" t="s">
        <v>215</v>
      </c>
    </row>
    <row r="17" spans="2:5" x14ac:dyDescent="0.25">
      <c r="B17" s="25" t="s">
        <v>216</v>
      </c>
      <c r="C17" s="25" t="s">
        <v>211</v>
      </c>
      <c r="D17" s="25" t="s">
        <v>217</v>
      </c>
    </row>
    <row r="18" spans="2:5" x14ac:dyDescent="0.25">
      <c r="B18" s="26">
        <v>0.04</v>
      </c>
      <c r="C18" s="27">
        <v>1</v>
      </c>
      <c r="D18" s="28">
        <f>NOMINAL(B18,C18)</f>
        <v>4.0000000000000036E-2</v>
      </c>
    </row>
    <row r="19" spans="2:5" x14ac:dyDescent="0.25">
      <c r="B19" s="26">
        <v>0.04</v>
      </c>
      <c r="C19" s="27">
        <v>2</v>
      </c>
      <c r="D19" s="28">
        <f>NOMINAL(B19,C19)</f>
        <v>3.9607805437114063E-2</v>
      </c>
    </row>
    <row r="20" spans="2:5" x14ac:dyDescent="0.25">
      <c r="B20" s="26">
        <v>0.04</v>
      </c>
      <c r="C20" s="27">
        <v>4</v>
      </c>
      <c r="D20" s="28">
        <f>NOMINAL(B20,C20)</f>
        <v>3.9413626195875295E-2</v>
      </c>
    </row>
    <row r="21" spans="2:5" x14ac:dyDescent="0.25">
      <c r="B21" s="26">
        <v>0.04</v>
      </c>
      <c r="C21" s="27">
        <v>12</v>
      </c>
      <c r="D21" s="28">
        <f>NOMINAL(B21,C21)</f>
        <v>3.9284877386386974E-2</v>
      </c>
    </row>
    <row r="22" spans="2:5" x14ac:dyDescent="0.25">
      <c r="E22" s="28"/>
    </row>
  </sheetData>
  <pageMargins left="0.7" right="0.7" top="0.75" bottom="0.75" header="0.3" footer="0.3"/>
</worksheet>
</file>

<file path=docMetadata/LabelInfo.xml><?xml version="1.0" encoding="utf-8"?>
<clbl:labelList xmlns:clbl="http://schemas.microsoft.com/office/2020/mipLabelMetadata">
  <clbl:label id="{2bdd4540-dfa8-4f47-92e3-d421298f2c89}"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Risks &amp; Remediations</vt:lpstr>
      <vt:lpstr>2256 Investments</vt:lpstr>
      <vt:lpstr>Investment Summary</vt:lpstr>
      <vt:lpstr>Bond Yields</vt:lpstr>
      <vt:lpstr>Return &amp; Calcs.</vt:lpstr>
      <vt:lpstr>Day Count Basis</vt:lpstr>
      <vt:lpstr>Websites</vt:lpstr>
      <vt:lpstr>Excel Sec. Functions</vt:lpstr>
      <vt:lpstr>Excel Int. Rate Conv.</vt:lpstr>
      <vt:lpstr>Excel Single CF</vt:lpstr>
      <vt:lpstr>Excel Periodic CF</vt:lpstr>
      <vt:lpstr>Excel Per. Variable CF</vt:lpstr>
      <vt:lpstr>Excel Non-Per. CF</vt:lpstr>
      <vt:lpstr>Excel Deprec. &amp; Amort.</vt:lpstr>
      <vt:lpstr>Excel Dollar Conv.</vt:lpstr>
      <vt:lpstr>Excl Coup. Days</vt:lpstr>
    </vt:vector>
  </TitlesOfParts>
  <Company>North Central Texas Council of Governments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Shinkle</dc:creator>
  <cp:lastModifiedBy>Patrick Shinkle</cp:lastModifiedBy>
  <dcterms:created xsi:type="dcterms:W3CDTF">2025-06-25T14:41:11Z</dcterms:created>
  <dcterms:modified xsi:type="dcterms:W3CDTF">2026-03-05T14:21:58Z</dcterms:modified>
</cp:coreProperties>
</file>