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S:\ED-TR\Integrated TR Stormwater\TWDB Deliverables\1_Task 3.3.4_ROI-GSI-NBS\Draft 2_September\"/>
    </mc:Choice>
  </mc:AlternateContent>
  <xr:revisionPtr revIDLastSave="0" documentId="13_ncr:1_{46B999B5-ADEB-45F4-AD04-262DF09A26FE}" xr6:coauthVersionLast="47" xr6:coauthVersionMax="47" xr10:uidLastSave="{00000000-0000-0000-0000-000000000000}"/>
  <bookViews>
    <workbookView xWindow="-110" yWindow="-110" windowWidth="19420" windowHeight="11500" tabRatio="729" xr2:uid="{0F3CAF7E-9235-4C3C-8FF8-4AA304A22F7A}"/>
  </bookViews>
  <sheets>
    <sheet name="Introduction" sheetId="22" r:id="rId1"/>
    <sheet name="Project Inputs &amp; Results" sheetId="23" r:id="rId2"/>
    <sheet name="Benefits" sheetId="25" r:id="rId3"/>
    <sheet name="Costs" sheetId="28" r:id="rId4"/>
    <sheet name="Results" sheetId="29" state="hidden" r:id="rId5"/>
  </sheets>
  <definedNames>
    <definedName name="adj">Benefits!$C$6</definedName>
    <definedName name="cost">Costs!$C$8:$G$14</definedName>
    <definedName name="downstream">Benefits!$C$61:$D$67</definedName>
    <definedName name="energy">Benefits!$C$45:$D$46</definedName>
    <definedName name="floodval">Results!$B$23:$G$28</definedName>
    <definedName name="habitat">Benefits!$C$57:$D$59</definedName>
    <definedName name="inflator">#REF!</definedName>
    <definedName name="landcost">Results!$P$4:$U$10</definedName>
    <definedName name="lease">Results!$O$13:$T$20</definedName>
    <definedName name="nitrogen">Benefits!$C$24:$D$30</definedName>
    <definedName name="phos">Benefits!$C$31:$D$37</definedName>
    <definedName name="purchase">Results!$O$3:$T$10</definedName>
    <definedName name="rec">Benefits!$C$38:$D$44</definedName>
    <definedName name="sedcost">Benefits!$C$17:$D$23</definedName>
    <definedName name="stormwatercost">Benefits!$C$10:$D$16</definedName>
    <definedName name="volume">Benefits!$L$19:$M$25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5" l="1"/>
  <c r="G19" i="29"/>
  <c r="H16" i="23"/>
  <c r="F16" i="23"/>
  <c r="E66" i="25"/>
  <c r="G67" i="25"/>
  <c r="G66" i="25"/>
  <c r="G62" i="25"/>
  <c r="G63" i="25"/>
  <c r="G64" i="25"/>
  <c r="G65" i="25"/>
  <c r="G61" i="25"/>
  <c r="E67" i="25"/>
  <c r="E62" i="25"/>
  <c r="E63" i="25"/>
  <c r="E64" i="25"/>
  <c r="E65" i="25"/>
  <c r="E61" i="25"/>
  <c r="J18" i="23"/>
  <c r="K18" i="23"/>
  <c r="J19" i="23"/>
  <c r="K19" i="23"/>
  <c r="J20" i="23"/>
  <c r="K20" i="23"/>
  <c r="K21" i="23"/>
  <c r="J22" i="23"/>
  <c r="K22" i="23"/>
  <c r="J23" i="23"/>
  <c r="J24" i="23"/>
  <c r="K24" i="23"/>
  <c r="D14" i="28"/>
  <c r="U5" i="29"/>
  <c r="U6" i="29"/>
  <c r="U7" i="29"/>
  <c r="U8" i="29"/>
  <c r="U9" i="29"/>
  <c r="U10" i="29"/>
  <c r="U4" i="29"/>
  <c r="F44" i="25"/>
  <c r="G44" i="25"/>
  <c r="E44" i="25"/>
  <c r="E28" i="29"/>
  <c r="D28" i="29"/>
  <c r="G28" i="29" s="1"/>
  <c r="C28" i="29"/>
  <c r="F28" i="29" s="1"/>
  <c r="G27" i="29"/>
  <c r="F27" i="29"/>
  <c r="G26" i="29"/>
  <c r="F26" i="29"/>
  <c r="G25" i="29"/>
  <c r="F25" i="29"/>
  <c r="G24" i="29"/>
  <c r="F24" i="29"/>
  <c r="E24" i="23"/>
  <c r="E39" i="25"/>
  <c r="F39" i="25"/>
  <c r="G39" i="25"/>
  <c r="E40" i="25"/>
  <c r="F40" i="25"/>
  <c r="G40" i="25"/>
  <c r="E41" i="25"/>
  <c r="F41" i="25"/>
  <c r="G41" i="25"/>
  <c r="F38" i="25"/>
  <c r="G38" i="25"/>
  <c r="E38" i="25"/>
  <c r="D8" i="28"/>
  <c r="D9" i="28"/>
  <c r="D10" i="28"/>
  <c r="D11" i="28"/>
  <c r="D12" i="28"/>
  <c r="D13" i="28"/>
  <c r="E19" i="23"/>
  <c r="E20" i="23"/>
  <c r="E21" i="23"/>
  <c r="E22" i="23"/>
  <c r="E23" i="23"/>
  <c r="E18" i="23"/>
  <c r="H20" i="29"/>
  <c r="G20" i="29"/>
  <c r="B20" i="29"/>
  <c r="B19" i="29"/>
  <c r="H18" i="29"/>
  <c r="G18" i="29"/>
  <c r="B18" i="29"/>
  <c r="H17" i="29"/>
  <c r="B17" i="29"/>
  <c r="H16" i="29"/>
  <c r="G16" i="29"/>
  <c r="B16" i="29"/>
  <c r="H15" i="29"/>
  <c r="G15" i="29"/>
  <c r="B15" i="29"/>
  <c r="H14" i="29"/>
  <c r="G14" i="29"/>
  <c r="B14" i="29"/>
  <c r="M13" i="29"/>
  <c r="L13" i="29"/>
  <c r="K13" i="29"/>
  <c r="J13" i="29"/>
  <c r="I13" i="29"/>
  <c r="H13" i="29"/>
  <c r="G13" i="29"/>
  <c r="F13" i="29"/>
  <c r="E13" i="29"/>
  <c r="D13" i="29"/>
  <c r="C13" i="29"/>
  <c r="E8" i="29"/>
  <c r="E7" i="29"/>
  <c r="E6" i="29"/>
  <c r="E5" i="29"/>
  <c r="E4" i="29"/>
  <c r="D59" i="25"/>
  <c r="D58" i="25"/>
  <c r="D57" i="25"/>
  <c r="D46" i="25"/>
  <c r="L4" i="29" l="1"/>
  <c r="I8" i="29"/>
  <c r="I18" i="29" s="1"/>
  <c r="L10" i="29"/>
  <c r="L9" i="29"/>
  <c r="L19" i="29" s="1"/>
  <c r="L6" i="29"/>
  <c r="L7" i="29"/>
  <c r="L8" i="29"/>
  <c r="L5" i="29"/>
  <c r="I9" i="29"/>
  <c r="I19" i="29" s="1"/>
  <c r="G7" i="29"/>
  <c r="G17" i="29" s="1"/>
  <c r="J21" i="23" s="1"/>
  <c r="F66" i="25"/>
  <c r="F62" i="25"/>
  <c r="F67" i="25"/>
  <c r="F65" i="25"/>
  <c r="F64" i="25"/>
  <c r="F63" i="25"/>
  <c r="F61" i="25"/>
  <c r="E17" i="29"/>
  <c r="H21" i="23" s="1"/>
  <c r="E16" i="29"/>
  <c r="H20" i="23" s="1"/>
  <c r="E15" i="29"/>
  <c r="H19" i="23" s="1"/>
  <c r="D38" i="25"/>
  <c r="I4" i="29" s="1"/>
  <c r="I14" i="29" s="1"/>
  <c r="D40" i="25"/>
  <c r="I6" i="29" s="1"/>
  <c r="I16" i="29" s="1"/>
  <c r="D39" i="25"/>
  <c r="I5" i="29" s="1"/>
  <c r="I15" i="29" s="1"/>
  <c r="D44" i="25"/>
  <c r="I10" i="29" s="1"/>
  <c r="I20" i="29" s="1"/>
  <c r="D41" i="25"/>
  <c r="I7" i="29" s="1"/>
  <c r="I17" i="29" s="1"/>
  <c r="D42" i="25"/>
  <c r="E18" i="29"/>
  <c r="H22" i="23" s="1"/>
  <c r="E14" i="29"/>
  <c r="H18" i="23" s="1"/>
  <c r="E10" i="29"/>
  <c r="M23" i="25"/>
  <c r="M25" i="25"/>
  <c r="L23" i="23" l="1"/>
  <c r="L18" i="23"/>
  <c r="L15" i="29"/>
  <c r="O19" i="23" s="1"/>
  <c r="L17" i="29"/>
  <c r="O21" i="23" s="1"/>
  <c r="L16" i="29"/>
  <c r="O20" i="23" s="1"/>
  <c r="O23" i="23"/>
  <c r="L20" i="23"/>
  <c r="L21" i="23"/>
  <c r="L19" i="23"/>
  <c r="D67" i="25"/>
  <c r="C10" i="29" s="1"/>
  <c r="D64" i="25"/>
  <c r="C7" i="29" s="1"/>
  <c r="D63" i="25"/>
  <c r="C6" i="29" s="1"/>
  <c r="D62" i="25"/>
  <c r="C5" i="29" s="1"/>
  <c r="D65" i="25"/>
  <c r="C8" i="29" s="1"/>
  <c r="L24" i="23"/>
  <c r="L22" i="23"/>
  <c r="E20" i="29"/>
  <c r="H24" i="23" s="1"/>
  <c r="L20" i="29"/>
  <c r="O24" i="23" s="1"/>
  <c r="L18" i="29"/>
  <c r="O22" i="23" s="1"/>
  <c r="D54" i="25"/>
  <c r="D56" i="25"/>
  <c r="D55" i="25"/>
  <c r="D61" i="25" l="1"/>
  <c r="C4" i="29" s="1"/>
  <c r="C20" i="29"/>
  <c r="F24" i="23" s="1"/>
  <c r="C17" i="29"/>
  <c r="F21" i="23" s="1"/>
  <c r="C16" i="29"/>
  <c r="F20" i="23" s="1"/>
  <c r="C15" i="29"/>
  <c r="F19" i="23" s="1"/>
  <c r="C18" i="29"/>
  <c r="F22" i="23" s="1"/>
  <c r="D47" i="25"/>
  <c r="F4" i="29" s="1"/>
  <c r="D48" i="25"/>
  <c r="F5" i="29" s="1"/>
  <c r="D50" i="25"/>
  <c r="F7" i="29" s="1"/>
  <c r="D51" i="25"/>
  <c r="F8" i="29" s="1"/>
  <c r="D49" i="25"/>
  <c r="F6" i="29" s="1"/>
  <c r="D53" i="25"/>
  <c r="F10" i="29" s="1"/>
  <c r="D52" i="25"/>
  <c r="F9" i="29" s="1"/>
  <c r="F19" i="29" s="1"/>
  <c r="C14" i="29" l="1"/>
  <c r="F18" i="23" s="1"/>
  <c r="F17" i="29"/>
  <c r="I21" i="23" s="1"/>
  <c r="F16" i="29"/>
  <c r="I20" i="23" s="1"/>
  <c r="I23" i="23"/>
  <c r="F15" i="29"/>
  <c r="I19" i="23" s="1"/>
  <c r="D66" i="25"/>
  <c r="C9" i="29" s="1"/>
  <c r="C19" i="29" s="1"/>
  <c r="F14" i="29"/>
  <c r="I18" i="23" s="1"/>
  <c r="F18" i="29"/>
  <c r="I22" i="23" s="1"/>
  <c r="F20" i="29"/>
  <c r="I24" i="23" s="1"/>
  <c r="K9" i="29" l="1"/>
  <c r="K19" i="29" s="1"/>
  <c r="F23" i="23"/>
  <c r="D15" i="25" l="1"/>
  <c r="D9" i="29" l="1"/>
  <c r="D19" i="29" s="1"/>
  <c r="G23" i="23"/>
  <c r="D60" i="25" l="1"/>
  <c r="H9" i="29" s="1"/>
  <c r="H19" i="29" s="1"/>
  <c r="K23" i="23" l="1"/>
  <c r="D45" i="25"/>
  <c r="E9" i="29" s="1"/>
  <c r="E19" i="29" s="1"/>
  <c r="D22" i="25"/>
  <c r="D29" i="25"/>
  <c r="D36" i="25"/>
  <c r="J9" i="29" l="1"/>
  <c r="J19" i="29" s="1"/>
  <c r="H23" i="23"/>
  <c r="L14" i="29"/>
  <c r="O18" i="23" s="1"/>
  <c r="M23" i="23" l="1"/>
  <c r="D10" i="25"/>
  <c r="M9" i="29" l="1"/>
  <c r="N23" i="23"/>
  <c r="D4" i="29"/>
  <c r="D16" i="25"/>
  <c r="D13" i="25"/>
  <c r="D14" i="25"/>
  <c r="D11" i="25"/>
  <c r="D12" i="25"/>
  <c r="M19" i="29" l="1"/>
  <c r="P23" i="23" s="1"/>
  <c r="D14" i="29"/>
  <c r="G18" i="23" s="1"/>
  <c r="D10" i="29"/>
  <c r="D7" i="29"/>
  <c r="D8" i="29"/>
  <c r="D5" i="29"/>
  <c r="D6" i="29"/>
  <c r="D20" i="29" l="1"/>
  <c r="G24" i="23" s="1"/>
  <c r="D17" i="29"/>
  <c r="G21" i="23" s="1"/>
  <c r="D18" i="29"/>
  <c r="G22" i="23" s="1"/>
  <c r="D15" i="29"/>
  <c r="G19" i="23" s="1"/>
  <c r="D16" i="29"/>
  <c r="G20" i="23" s="1"/>
  <c r="D30" i="25" l="1"/>
  <c r="D35" i="25"/>
  <c r="D28" i="25"/>
  <c r="D37" i="25"/>
  <c r="D33" i="25"/>
  <c r="D25" i="25"/>
  <c r="D31" i="25"/>
  <c r="D24" i="25"/>
  <c r="D32" i="25"/>
  <c r="D21" i="25" l="1"/>
  <c r="J8" i="29" s="1"/>
  <c r="D23" i="25"/>
  <c r="J10" i="29" s="1"/>
  <c r="D27" i="25"/>
  <c r="D34" i="25"/>
  <c r="D26" i="25"/>
  <c r="D17" i="25"/>
  <c r="J4" i="29" s="1"/>
  <c r="D18" i="25"/>
  <c r="J5" i="29" s="1"/>
  <c r="K8" i="29" l="1"/>
  <c r="J18" i="29"/>
  <c r="M22" i="23" s="1"/>
  <c r="K10" i="29"/>
  <c r="J20" i="29"/>
  <c r="M24" i="23" s="1"/>
  <c r="K4" i="29"/>
  <c r="J14" i="29"/>
  <c r="M18" i="23" s="1"/>
  <c r="K5" i="29"/>
  <c r="J15" i="29"/>
  <c r="M19" i="23" s="1"/>
  <c r="D20" i="25"/>
  <c r="J7" i="29" s="1"/>
  <c r="D19" i="25"/>
  <c r="J6" i="29" s="1"/>
  <c r="K18" i="29" l="1"/>
  <c r="N22" i="23" s="1"/>
  <c r="M8" i="29"/>
  <c r="K20" i="29"/>
  <c r="M10" i="29"/>
  <c r="K14" i="29"/>
  <c r="M4" i="29"/>
  <c r="K15" i="29"/>
  <c r="M5" i="29"/>
  <c r="K7" i="29"/>
  <c r="J17" i="29"/>
  <c r="M21" i="23" s="1"/>
  <c r="K6" i="29"/>
  <c r="J16" i="29"/>
  <c r="M20" i="23" s="1"/>
  <c r="M20" i="29" l="1"/>
  <c r="P24" i="23" s="1"/>
  <c r="N24" i="23"/>
  <c r="M14" i="29"/>
  <c r="P18" i="23" s="1"/>
  <c r="N18" i="23"/>
  <c r="M15" i="29"/>
  <c r="P19" i="23" s="1"/>
  <c r="N19" i="23"/>
  <c r="M18" i="29"/>
  <c r="P22" i="23" s="1"/>
  <c r="M7" i="29"/>
  <c r="K17" i="29"/>
  <c r="N21" i="23" s="1"/>
  <c r="M6" i="29"/>
  <c r="K16" i="29"/>
  <c r="M16" i="29" l="1"/>
  <c r="P20" i="23" s="1"/>
  <c r="N20" i="23"/>
  <c r="M17" i="29"/>
  <c r="P21"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Rachel</author>
  </authors>
  <commentList>
    <comment ref="C6" authorId="0" shapeId="0" xr:uid="{9D3E2348-526A-4B81-B2B4-3A47E78A04CA}">
      <text>
        <r>
          <rPr>
            <b/>
            <sz val="9"/>
            <color indexed="81"/>
            <rFont val="Tahoma"/>
            <family val="2"/>
          </rPr>
          <t>Guidance:</t>
        </r>
        <r>
          <rPr>
            <sz val="9"/>
            <color indexed="81"/>
            <rFont val="Tahoma"/>
            <family val="2"/>
          </rPr>
          <t xml:space="preserve">
This number adjusts benefits and costs based on the year your project starts accruing benefits. You can adjust the future inflation rate in cell M9.</t>
        </r>
      </text>
    </comment>
  </commentList>
</comments>
</file>

<file path=xl/sharedStrings.xml><?xml version="1.0" encoding="utf-8"?>
<sst xmlns="http://schemas.openxmlformats.org/spreadsheetml/2006/main" count="327" uniqueCount="170">
  <si>
    <t>Welcome!</t>
  </si>
  <si>
    <t>User Input and Results</t>
  </si>
  <si>
    <r>
      <t xml:space="preserve">Step 1. </t>
    </r>
    <r>
      <rPr>
        <i/>
        <sz val="11"/>
        <color theme="1"/>
        <rFont val="Aptos Narrow"/>
        <family val="2"/>
        <scheme val="minor"/>
      </rPr>
      <t>Select parameters in the green cells of the user input column according to your project.</t>
    </r>
    <r>
      <rPr>
        <b/>
        <i/>
        <sz val="11"/>
        <color theme="1"/>
        <rFont val="Aptos Narrow"/>
        <family val="2"/>
        <scheme val="minor"/>
      </rPr>
      <t xml:space="preserve"> </t>
    </r>
    <r>
      <rPr>
        <i/>
        <sz val="11"/>
        <color theme="1"/>
        <rFont val="Aptos Narrow"/>
        <family val="2"/>
        <scheme val="minor"/>
      </rPr>
      <t>Results will appear in the table to the right, and change as you make additional inputs.</t>
    </r>
    <r>
      <rPr>
        <b/>
        <i/>
        <sz val="11"/>
        <color theme="1"/>
        <rFont val="Aptos Narrow"/>
        <family val="2"/>
        <scheme val="minor"/>
      </rPr>
      <t xml:space="preserve"> </t>
    </r>
    <r>
      <rPr>
        <i/>
        <sz val="11"/>
        <color theme="1"/>
        <rFont val="Aptos Narrow"/>
        <family val="2"/>
        <scheme val="minor"/>
      </rPr>
      <t>Results represent lifecycle benefits and costs over a period of 50 years.</t>
    </r>
  </si>
  <si>
    <t>User Input</t>
  </si>
  <si>
    <t>In what year will the project begin to provide benefits?</t>
  </si>
  <si>
    <t>Number of homes within 250 feet of GSI</t>
  </si>
  <si>
    <t>If you are considering a natural area, which habitat best describes your site?</t>
  </si>
  <si>
    <t>Do you need to acquire land for your project?</t>
  </si>
  <si>
    <t>What is the current land use of the land to be acquired?</t>
  </si>
  <si>
    <t>Land cost per acre (if known)</t>
  </si>
  <si>
    <t>Watershed</t>
  </si>
  <si>
    <t>County</t>
  </si>
  <si>
    <t>Enter project area in</t>
  </si>
  <si>
    <t>Results</t>
  </si>
  <si>
    <t>Project area:</t>
  </si>
  <si>
    <t>BMP</t>
  </si>
  <si>
    <t>Avoided Downstream Flood Damages</t>
  </si>
  <si>
    <t>Avoided Stormwater Management Costs</t>
  </si>
  <si>
    <t>Energy Use</t>
  </si>
  <si>
    <t>Air Quality</t>
  </si>
  <si>
    <t>Habitat</t>
  </si>
  <si>
    <t>Reduced Pavement Maintenance</t>
  </si>
  <si>
    <t>Aesthetics</t>
  </si>
  <si>
    <t>Water Quality</t>
  </si>
  <si>
    <t>Total Lifecycle Benefits</t>
  </si>
  <si>
    <t>Total Lifecycle Costs</t>
  </si>
  <si>
    <t>BC Ratio over 50 Years</t>
  </si>
  <si>
    <t>Bioretention</t>
  </si>
  <si>
    <t>Detention Pond</t>
  </si>
  <si>
    <t>Constructed Wetland</t>
  </si>
  <si>
    <t>Natural Area</t>
  </si>
  <si>
    <t>Pervious Pavement</t>
  </si>
  <si>
    <t>Street Trees</t>
  </si>
  <si>
    <t>Green Roof</t>
  </si>
  <si>
    <t>If tree checked, number of trees</t>
  </si>
  <si>
    <t>Economic Benefits</t>
  </si>
  <si>
    <r>
      <rPr>
        <b/>
        <i/>
        <sz val="11"/>
        <color theme="1"/>
        <rFont val="Aptos Narrow"/>
        <family val="2"/>
        <scheme val="minor"/>
      </rPr>
      <t>Step 2</t>
    </r>
    <r>
      <rPr>
        <i/>
        <sz val="11"/>
        <color theme="1"/>
        <rFont val="Aptos Narrow"/>
        <family val="2"/>
        <scheme val="minor"/>
      </rPr>
      <t>. This page contains quantified economic benefits for use in the tool. If you prefer a different value, you may enter it in the 'Default Benefit' column; otherwise, you may set it equal to the minimum and maximum benefits provided, according to the user guidance.</t>
    </r>
  </si>
  <si>
    <t>Future Annual Inflation</t>
  </si>
  <si>
    <t>Parameters</t>
  </si>
  <si>
    <t>Environmental Benefit</t>
  </si>
  <si>
    <t>Mitigation Measure</t>
  </si>
  <si>
    <t>Default Benefit</t>
  </si>
  <si>
    <t>Benefit (min)</t>
  </si>
  <si>
    <t>Medium</t>
  </si>
  <si>
    <t>Benefit (max)</t>
  </si>
  <si>
    <t>Unit</t>
  </si>
  <si>
    <t>User Guidance</t>
  </si>
  <si>
    <t>Sources</t>
  </si>
  <si>
    <t>Interest Rate</t>
  </si>
  <si>
    <r>
      <t xml:space="preserve">Avoided Stormwater Management Cost </t>
    </r>
    <r>
      <rPr>
        <b/>
        <vertAlign val="superscript"/>
        <sz val="10"/>
        <rFont val="Aptos Narrow"/>
        <family val="2"/>
        <scheme val="minor"/>
      </rPr>
      <t>1</t>
    </r>
  </si>
  <si>
    <t xml:space="preserve"> $ / Acre</t>
  </si>
  <si>
    <t>Use the lower value if the project is not expected to reduce the need for additional infrastructure. Use the medium value if the project reduces the need for additional infrastructure.</t>
  </si>
  <si>
    <t>Jack et al. (2025), residential stormwater fees in Fort Worth and Dallas</t>
  </si>
  <si>
    <t>Period</t>
  </si>
  <si>
    <t>Detention / Retention Pond</t>
  </si>
  <si>
    <t>Capacity per Tree (CF)</t>
  </si>
  <si>
    <t>Runoff Managed per Tree (AF)</t>
  </si>
  <si>
    <t>SF per acre</t>
  </si>
  <si>
    <t>CF/liter</t>
  </si>
  <si>
    <t>$ / Tree</t>
  </si>
  <si>
    <t>SF/m2</t>
  </si>
  <si>
    <r>
      <t>Water Quality</t>
    </r>
    <r>
      <rPr>
        <sz val="10"/>
        <rFont val="Aptos Narrow"/>
        <family val="2"/>
        <scheme val="minor"/>
      </rPr>
      <t xml:space="preserve"> </t>
    </r>
    <r>
      <rPr>
        <vertAlign val="superscript"/>
        <sz val="10"/>
        <rFont val="Aptos Narrow"/>
        <family val="2"/>
        <scheme val="minor"/>
      </rPr>
      <t xml:space="preserve"> </t>
    </r>
    <r>
      <rPr>
        <sz val="10"/>
        <rFont val="Aptos Narrow"/>
        <family val="2"/>
        <scheme val="minor"/>
      </rPr>
      <t>(Sediment Capture)</t>
    </r>
    <r>
      <rPr>
        <b/>
        <sz val="10"/>
        <rFont val="Aptos Narrow"/>
        <family val="2"/>
        <scheme val="minor"/>
      </rPr>
      <t xml:space="preserve"> </t>
    </r>
    <r>
      <rPr>
        <b/>
        <vertAlign val="superscript"/>
        <sz val="10"/>
        <rFont val="Aptos Narrow"/>
        <family val="2"/>
        <scheme val="minor"/>
      </rPr>
      <t>2</t>
    </r>
  </si>
  <si>
    <r>
      <t xml:space="preserve">Choose the </t>
    </r>
    <r>
      <rPr>
        <sz val="8"/>
        <color theme="1"/>
        <rFont val="Aptos Narrow"/>
        <family val="2"/>
        <scheme val="minor"/>
      </rPr>
      <t>lower value if you have a small drainage area, or are implementing dry detention basins, which are less effective at filtering pollutants, or green roofs that rely on heavy chemical fertilizers. Select the higher value for larger drainage areas with high pollutant loads, or when conserving natural riparian buffers along upstream headwater streams or constructing deep wetlands with high native plant density.</t>
    </r>
  </si>
  <si>
    <t>Annual pollutant load per acre derived from (Li, Barrett, Rammohan, Olivera, &amp; Landphair, 2008). Sources for pollutant removal efficiency: (City of Denton, 2008; Jaber F. , 2015; International Stormwater Best Management Practices Database, 2016; North Central Texas Council of Governments, 2014; Houle, Roseen, Ballestero, Puls, &amp; Sherrard Jr., 2013). Values from (U.S. Environmental Protection Agency, 2015; Natural Resource Conservation Service, US Department of Agriculture, 2010; Shaik, Helmers, &amp; Langemeier, 2002, Minnesota Pollution Control Agency, 2025, Kuok, et al., 2023, Bashar, et al., 2018, Sena, et al., 2020, Nordman, et al., 2018; EPA, 2004)</t>
  </si>
  <si>
    <t>Area to Storage Volume Conversion</t>
  </si>
  <si>
    <t>Practice</t>
  </si>
  <si>
    <t>CF per SF</t>
  </si>
  <si>
    <t>Source</t>
  </si>
  <si>
    <t>Jack et al. (2025) - avg of rain garden and bioretention</t>
  </si>
  <si>
    <t>NCHRP 2014</t>
  </si>
  <si>
    <t>https://ossf.tamu.edu/files/2023/01/L-5230-9.08-Constructed-wetlands.pdf</t>
  </si>
  <si>
    <t>Conservative estimate</t>
  </si>
  <si>
    <t>assume depth of 1 foot, 35% porosity, https://www.perviouspavement.org/downloads/NCSU_HydraulicDesignPermeablePavement.pdf</t>
  </si>
  <si>
    <r>
      <t xml:space="preserve">Water Quality </t>
    </r>
    <r>
      <rPr>
        <vertAlign val="superscript"/>
        <sz val="10"/>
        <rFont val="Aptos Narrow"/>
        <family val="2"/>
        <scheme val="minor"/>
      </rPr>
      <t xml:space="preserve"> </t>
    </r>
    <r>
      <rPr>
        <sz val="10"/>
        <rFont val="Aptos Narrow"/>
        <family val="2"/>
        <scheme val="minor"/>
      </rPr>
      <t>(Nitrogen Capture)</t>
    </r>
    <r>
      <rPr>
        <b/>
        <sz val="10"/>
        <rFont val="Aptos Narrow"/>
        <family val="2"/>
        <scheme val="minor"/>
      </rPr>
      <t xml:space="preserve"> </t>
    </r>
    <r>
      <rPr>
        <b/>
        <vertAlign val="superscript"/>
        <sz val="10"/>
        <rFont val="Aptos Narrow"/>
        <family val="2"/>
        <scheme val="minor"/>
      </rPr>
      <t>2</t>
    </r>
  </si>
  <si>
    <t>Based on average storage volume of tree, based on iTree results for 5 county region</t>
  </si>
  <si>
    <t>https://tnpermanentstormwater.org/manual/18%20Chapter%205.4.9%20Green%20Roofs.pdf</t>
  </si>
  <si>
    <t>Aesthetic and Recreational Benefit per Home</t>
  </si>
  <si>
    <t>Low</t>
  </si>
  <si>
    <t>High</t>
  </si>
  <si>
    <t>Rain Garden</t>
  </si>
  <si>
    <t>Retention Pond</t>
  </si>
  <si>
    <r>
      <t>Water Quality</t>
    </r>
    <r>
      <rPr>
        <sz val="10"/>
        <rFont val="Aptos Narrow"/>
        <family val="2"/>
        <scheme val="minor"/>
      </rPr>
      <t xml:space="preserve"> (Phosphorus Capture)</t>
    </r>
    <r>
      <rPr>
        <b/>
        <sz val="10"/>
        <rFont val="Aptos Narrow"/>
        <family val="2"/>
        <scheme val="minor"/>
      </rPr>
      <t xml:space="preserve"> </t>
    </r>
    <r>
      <rPr>
        <b/>
        <vertAlign val="superscript"/>
        <sz val="10"/>
        <rFont val="Aptos Narrow"/>
        <family val="2"/>
        <scheme val="minor"/>
      </rPr>
      <t>2</t>
    </r>
  </si>
  <si>
    <t>Wetland</t>
  </si>
  <si>
    <t>Open Space</t>
  </si>
  <si>
    <t>Median Value of home in Dallas</t>
  </si>
  <si>
    <t>Original Value</t>
  </si>
  <si>
    <t>Year</t>
  </si>
  <si>
    <t>2026 Value</t>
  </si>
  <si>
    <t>Dallas home median appraised value 2023</t>
  </si>
  <si>
    <t>https://www.poconnor.com/high-assessments-could-cost-median-dallas-homeowner-626-in-extra-property-taxes/</t>
  </si>
  <si>
    <r>
      <t xml:space="preserve">Aesthetics </t>
    </r>
    <r>
      <rPr>
        <b/>
        <vertAlign val="superscript"/>
        <sz val="10"/>
        <rFont val="Aptos Narrow"/>
        <family val="2"/>
        <scheme val="minor"/>
      </rPr>
      <t>3</t>
    </r>
  </si>
  <si>
    <t>Use the lower value if the project is located in a remote, low-density rural area with low visitation, or if the infrastructure lacks regular maintenance and risks becoming an unappealing eyesore (e.g., an overgrown detention basin without any park features). Use the higher value when green infrastructure is designed as a prominent community amenity (such as wet ponds with walking trails) or situated in dense urban neighborhoods with limited green space.</t>
  </si>
  <si>
    <t>Sander et al., 2010; Donavan &amp; Butry, 2010; Pandit et al., 2012; Sustainable Business Network 2016; Clements et al., 2021; Shultz and Schmitz, 2008,</t>
  </si>
  <si>
    <r>
      <t xml:space="preserve">Energy Savings </t>
    </r>
    <r>
      <rPr>
        <b/>
        <vertAlign val="superscript"/>
        <sz val="10"/>
        <rFont val="Aptos Narrow"/>
        <family val="2"/>
        <scheme val="minor"/>
      </rPr>
      <t>4</t>
    </r>
  </si>
  <si>
    <t>Select the lower value when planting small tree species far from buildings or implementing shallow green roofs with a low roof-area-to-building-volume ratio. Choose the higher value when strategically placing mature, large-canopy shade trees directly adjacent to building walls or installing deep, irrigated, plant-dense green roofs in hot climates to maximize direct cooling.</t>
  </si>
  <si>
    <t>Based on the average charge for electricity in Dallas in October 2025 (TexasElectricity Ratings.com, 2025) and average residential tariff for natural gas. Benefit from Monear et al. 2015. Green roofs: (NCTCOG, 2017) (Texas Tree Foundation, 2015)</t>
  </si>
  <si>
    <r>
      <t xml:space="preserve">Air Quality </t>
    </r>
    <r>
      <rPr>
        <b/>
        <vertAlign val="superscript"/>
        <sz val="10"/>
        <rFont val="Aptos Narrow"/>
        <family val="2"/>
        <scheme val="minor"/>
      </rPr>
      <t>5</t>
    </r>
    <r>
      <rPr>
        <b/>
        <sz val="10"/>
        <rFont val="Aptos Narrow"/>
        <family val="2"/>
        <scheme val="minor"/>
      </rPr>
      <t xml:space="preserve"> </t>
    </r>
  </si>
  <si>
    <t>Select the lower value for projects in sparsely populated rural areas, or when planting street trees in narrow street canyons where restricted airflow can trap and concentrate localized pollutants. Select the higher value in densely populated urban settings with extensive tree cover, where a larger population directly benefits from the physical removal of atmospheric pollutants.</t>
  </si>
  <si>
    <t>Nowak, Crane, &amp; Stevens, 2006; Nowak et al., 2002; GSI Impact Hub, 2025; Nowak, et al., 2014; Hirabayashi, 2014; Nowak D. J., 2020; Water Resources Council, 1979)</t>
  </si>
  <si>
    <r>
      <t xml:space="preserve">Air Quality (Carbon Dioxide) </t>
    </r>
    <r>
      <rPr>
        <b/>
        <vertAlign val="superscript"/>
        <sz val="10"/>
        <rFont val="Aptos Narrow"/>
        <family val="2"/>
        <scheme val="minor"/>
      </rPr>
      <t>6</t>
    </r>
  </si>
  <si>
    <t>Use the lower value if you for lower relative importance of climate change and ocean acidification, and the higher value for higher importance.</t>
  </si>
  <si>
    <t>(U.S. EPA, 2023; iTree, 2026; GSI Impact Hub, 2025)</t>
  </si>
  <si>
    <r>
      <t xml:space="preserve">Habitat, Forest </t>
    </r>
    <r>
      <rPr>
        <b/>
        <vertAlign val="superscript"/>
        <sz val="10"/>
        <rFont val="Aptos Narrow"/>
        <family val="2"/>
        <scheme val="minor"/>
      </rPr>
      <t>7</t>
    </r>
  </si>
  <si>
    <t>Choose the lower value if the project consists of small, fragmented parcels or is located in highly trafficked urban areas where human disturbance limits ecological value. Choose the higher value for areas where species of conservation concern persist, and where habitat is large, continuous, and undisturbed.</t>
  </si>
  <si>
    <t>Robertson, 2018; Cooley, 2015; Randall, et al., 2008; Moore, et al., 2011; Simpson, et al., 2013</t>
  </si>
  <si>
    <r>
      <t xml:space="preserve">Habitat, Wetland/Riparian </t>
    </r>
    <r>
      <rPr>
        <b/>
        <vertAlign val="superscript"/>
        <sz val="10"/>
        <rFont val="Aptos Narrow"/>
        <family val="2"/>
        <scheme val="minor"/>
      </rPr>
      <t>7</t>
    </r>
  </si>
  <si>
    <r>
      <t xml:space="preserve">Habitat, Prairie </t>
    </r>
    <r>
      <rPr>
        <b/>
        <vertAlign val="superscript"/>
        <sz val="10"/>
        <rFont val="Aptos Narrow"/>
        <family val="2"/>
        <scheme val="minor"/>
      </rPr>
      <t>7</t>
    </r>
  </si>
  <si>
    <r>
      <t xml:space="preserve">Avoided Pavement Maintenance Costs </t>
    </r>
    <r>
      <rPr>
        <b/>
        <vertAlign val="superscript"/>
        <sz val="10"/>
        <rFont val="Aptos Narrow"/>
        <family val="2"/>
        <scheme val="minor"/>
      </rPr>
      <t>8</t>
    </r>
  </si>
  <si>
    <t>Use the lower value for smaller species of tree, and the higher value for larger species of tree.</t>
  </si>
  <si>
    <t xml:space="preserve"> (McPherson &amp; Muchnick, 2005)</t>
  </si>
  <si>
    <r>
      <t xml:space="preserve">Avoided Downstream Flooding Damages </t>
    </r>
    <r>
      <rPr>
        <b/>
        <vertAlign val="superscript"/>
        <sz val="10"/>
        <rFont val="Aptos Narrow"/>
        <family val="2"/>
        <scheme val="minor"/>
      </rPr>
      <t>9</t>
    </r>
  </si>
  <si>
    <t>$ / Acre</t>
  </si>
  <si>
    <t>Use the lower value when wetlands are located in remote, rural areas with very sparse development downstream, or when they are situated too close to a stream and are already fully saturated. Use the higher value when the green infrastructure is located directly upstream of densely populated, high-value developments where significant built assets are protected from flood damage.</t>
  </si>
  <si>
    <t>Highland Economics' analysis.</t>
  </si>
  <si>
    <t>1. Low cost represents only maintenance of gray stormwater infrastructure, based on stormwater charges for Fort Worth and Dallas. Medium cost represents gray infrastructure needed to capture volume of stormwater alternatively caught by BMP to avoid overflows in the 100-year storm, assuming volume-to-area conversions (see cell range L17:N25), tree assumed to capture 7.65 CF annually.</t>
  </si>
  <si>
    <r>
      <t xml:space="preserve">2. Assumes total rainfall volume of 1,044,017 gallons per year, with runoff coefficient of 0.7. Assumes pollutant concentrations of 116 to 173 mg / l of TSS, 1.13 to 2.13 mg / l of N, and 0.13 to 0.28 mg / l of P. Assumes bioretention is 5 to 7 percent of catchment area, detention/retention ponds are 1.5 to 8 percent of catchment area, wetlands are 1 to 5 percent of catchment area, natural areas are 1 to 7 percent of catchment area, and pervious pavement and green roofs are 100 percent of catchment area.
</t>
    </r>
    <r>
      <rPr>
        <b/>
        <sz val="11"/>
        <color theme="1"/>
        <rFont val="Aptos Narrow"/>
        <family val="2"/>
        <scheme val="minor"/>
      </rPr>
      <t>Removal efficiency  ranges</t>
    </r>
    <r>
      <rPr>
        <sz val="11"/>
        <color theme="1"/>
        <rFont val="Aptos Narrow"/>
        <family val="2"/>
        <scheme val="minor"/>
      </rPr>
      <t xml:space="preserve">
- Runoff capture: bioretention (50 - 100%), detention / retention (62%), wetlands (54%), natural areas (50 - 54%),  pervious pavement (71 - 100%), green roofs (50 - 75%)
- TSS: bioretention (34 - 94%), detention / retention (18 - 91%), wetlands (86 - 96%), natural areas (34 - 96%),  pervious pavement (25 - 94%), green roofs (39 - 75%)
- Phosphorus: bioretention (25 - 95%), detention / retention (0 - 52%), wetlands (60 - 78%), natural areas (25 - 78%),  pervious pavement (60 - 78%), green roofs (0 - 0%)
- Nitrogen: bioretention (25 - 95%), detention / retention (25 - 91%), wetlands (9 - 46%), natural areas (25 - 46%),  pervious pavement (25 - 71%), green roofs (0 - 93%)</t>
    </r>
  </si>
  <si>
    <t>3. Assumes BMP is visible from homes within 250 feet, and is well maintained.</t>
  </si>
  <si>
    <t xml:space="preserve">4. Low energy savings based on tree saving 0.2 therms and 0 kWh per year (pond cypress  in Dallas Tree Inventory Report), medium savings based on tree saving 2.4 therms and 60.9 kWh per year (average Dallas tree), high energy savings based on tree saving 8.9 therms and 300 kWh per year (large Afghan pine). </t>
  </si>
  <si>
    <t>5. Assumes that 30-meter satellite pixels from the National Land Cover Database accurately represent the proportion of tree canopy versus other surfaces. Assumes average canopy per tree of 858 ft2 based on Dallas Urban Forest Report (14,677,852 trees over 452 square miles). Assumes average Texas tree removal rates of 0.28 g / m2 SO2, 5.88 g / m2 of O3, and 0.72 g / m2 of NO2. Assumes herbaceous vegetation captures 85.6% of SO2, 79.1% of O3, and 75.6% of NO2 compared with trees.</t>
  </si>
  <si>
    <t>6. Based on values from EPA (2023) at discount rates of 1.5% (low), 2% (medium), and 2.5% (medium). Assumes social cost of carbon increases linearly between each decade marker year.</t>
  </si>
  <si>
    <t>7. Assumes natural area is of sufficient size to warrant economic value for habitat (0.2 acre or more).</t>
  </si>
  <si>
    <t>8. Assumes trees overshadow pavement and provide shade at least part of the year.</t>
  </si>
  <si>
    <t>9. Assumes there are structures and roads downstream that will be benefitted.</t>
  </si>
  <si>
    <t>Economic Costs</t>
  </si>
  <si>
    <r>
      <rPr>
        <b/>
        <i/>
        <sz val="11"/>
        <color theme="1"/>
        <rFont val="Aptos Narrow"/>
        <family val="2"/>
        <scheme val="minor"/>
      </rPr>
      <t xml:space="preserve">Step 3. </t>
    </r>
    <r>
      <rPr>
        <i/>
        <sz val="11"/>
        <color theme="1"/>
        <rFont val="Aptos Narrow"/>
        <family val="2"/>
        <scheme val="minor"/>
      </rPr>
      <t>This page contains quantified economic costs for use in the tool. If you prefer a different value, you may enter it in the 'Default Cost' column; otherwise, you may set it equal to the minimum and maximum benefits provided, according to the user guidance.</t>
    </r>
  </si>
  <si>
    <t>Costs</t>
  </si>
  <si>
    <t>Cost Type</t>
  </si>
  <si>
    <t>Default Cost</t>
  </si>
  <si>
    <t>Cost (25th percentile)</t>
  </si>
  <si>
    <t>Average Cost</t>
  </si>
  <si>
    <t>Cost (75th percentile)</t>
  </si>
  <si>
    <t>Present Value Cost*</t>
  </si>
  <si>
    <t>Use lower costs if you are integrating GSI into an existing project as it is being built, you are sourcing material  over a small distance, you have high-infiltration soil, and you are using native plants. Use higher costs if you are planting in low-infiltration soil, you expect utility conflicts, your project is a retrofit, you are sourcing material  over a large distance, and your plants will need irrigation.</t>
  </si>
  <si>
    <t>EPA, 2015; Ellis, et al., 2014; Hathaway &amp; Hunt, 2007; Headwaters Economics, 2022; Houle, et al., 2013; Kuok, et al., 2023; Martinez, 2009; McPherson &amp; Peper, Costs of Street Tree Damage to Infrastructure, 1996; McPherson, et al., 2005; Minnesota Pollution Control Agency, 2025; Morrison &amp; Mikulencak, 2012; Native Fish Conservation Network, 2026; NCTCOG, 2017; New Mexico Environment Department, 2023; NOAA, 2022; NOAA, 2015; Noack, 2018; Nordman, et al., 2018; Oklahoma Conservation Commission, 2008; RAND E&amp;A, 2014; San Antonio River Authority, 2019; Texas State Soil &amp; Water Conservation Board, 2016; TreeFolks, 2026; US Army Corps of Engineers, 2009; US Army Corps of Engineers, 2018; USDA NRCS, 2024; USGS, 2017; William, et al., 2016</t>
  </si>
  <si>
    <t xml:space="preserve">$ / Tree </t>
  </si>
  <si>
    <t>* Bioretention is rebuilt in year 26. Wetland is rebuilt in year 36. Permeable pavement is rebuilt in years 25 and 50. Tree is removed and replanted in years 21 and 41. Green roof is rebuilt in year 41, but avoids costs of conventional roof replacement in years 21 and 41.</t>
  </si>
  <si>
    <t>Benefit if Input is Acres (or per Tree)</t>
  </si>
  <si>
    <t>Land Purchase Costs</t>
  </si>
  <si>
    <t>Air Quality (Local)</t>
  </si>
  <si>
    <t>Aesthetics and Recreation</t>
  </si>
  <si>
    <t>Water Quality (TSS)</t>
  </si>
  <si>
    <t>BC Ratio</t>
  </si>
  <si>
    <t>Cropland</t>
  </si>
  <si>
    <t>Grazing Land</t>
  </si>
  <si>
    <t>Orchard</t>
  </si>
  <si>
    <t>Wildlife Management</t>
  </si>
  <si>
    <t>Unknown</t>
  </si>
  <si>
    <t>Other / Known Cost (insert land cost in cell below)</t>
  </si>
  <si>
    <t>Dallas</t>
  </si>
  <si>
    <t>Denton</t>
  </si>
  <si>
    <t>Ellis</t>
  </si>
  <si>
    <t>Johnson</t>
  </si>
  <si>
    <t>Parker</t>
  </si>
  <si>
    <t>Tarrant</t>
  </si>
  <si>
    <t>Wise</t>
  </si>
  <si>
    <t>Benefit if Input in Square Feet (or for Number of Trees)</t>
  </si>
  <si>
    <t>Trees per Acre (Dallas Urban Forest)</t>
  </si>
  <si>
    <t>Avoided Downstream Flooding by Watershed</t>
  </si>
  <si>
    <t>Metric</t>
  </si>
  <si>
    <t>Present Value Damages, 2027 to 2076</t>
  </si>
  <si>
    <t>Present Value Damages, 2027 to 2077, Existing Structures Only</t>
  </si>
  <si>
    <t>Optimization Model, Local Storage Required</t>
  </si>
  <si>
    <t>PV  / AF</t>
  </si>
  <si>
    <t>PV/ AF Only existing structures</t>
  </si>
  <si>
    <t>Village Creek</t>
  </si>
  <si>
    <t>Mary’s Creek</t>
  </si>
  <si>
    <t>Upper Clear Fork Trinity River</t>
  </si>
  <si>
    <t>Mountain Creek</t>
  </si>
  <si>
    <t>Other</t>
  </si>
  <si>
    <r>
      <t xml:space="preserve">Welcome to the green stormwater infrastructure (GSI) BC tool! The purpose of this tool is to help you compare different types of GSI based on input you provide the tool. It is intended to provide approximate estimates of benefits and costs for GSI in the North Central Texas region. This tool measures lifecycle benefits and costs over a period of 50 years.                                                                                                                                                                                                                                                                                                                                                                                                                                  
Begin by entering inputs related to your project in the </t>
    </r>
    <r>
      <rPr>
        <b/>
        <sz val="11"/>
        <color theme="1"/>
        <rFont val="Aptos Narrow"/>
        <family val="2"/>
        <scheme val="minor"/>
      </rPr>
      <t>Project Inputs and Results</t>
    </r>
    <r>
      <rPr>
        <sz val="11"/>
        <color theme="1"/>
        <rFont val="Aptos Narrow"/>
        <family val="2"/>
        <scheme val="minor"/>
      </rPr>
      <t xml:space="preserve"> tab. If desired, you may change the default benefits and costs in the </t>
    </r>
    <r>
      <rPr>
        <b/>
        <sz val="11"/>
        <color theme="1"/>
        <rFont val="Aptos Narrow"/>
        <family val="2"/>
        <scheme val="minor"/>
      </rPr>
      <t>Benefits</t>
    </r>
    <r>
      <rPr>
        <sz val="11"/>
        <color theme="1"/>
        <rFont val="Aptos Narrow"/>
        <family val="2"/>
        <scheme val="minor"/>
      </rPr>
      <t xml:space="preserve"> and </t>
    </r>
    <r>
      <rPr>
        <b/>
        <sz val="11"/>
        <color theme="1"/>
        <rFont val="Aptos Narrow"/>
        <family val="2"/>
        <scheme val="minor"/>
      </rPr>
      <t>Costs</t>
    </r>
    <r>
      <rPr>
        <sz val="11"/>
        <color theme="1"/>
        <rFont val="Aptos Narrow"/>
        <family val="2"/>
        <scheme val="minor"/>
      </rPr>
      <t xml:space="preserve"> tabs according to the specifics of your project.                                                                                                                                                                                                                                                                                                                                                                                            </t>
    </r>
    <r>
      <rPr>
        <b/>
        <sz val="11"/>
        <color theme="1"/>
        <rFont val="Aptos Narrow"/>
        <family val="2"/>
        <scheme val="minor"/>
      </rPr>
      <t>Funding Partners</t>
    </r>
    <r>
      <rPr>
        <sz val="11"/>
        <color theme="1"/>
        <rFont val="Aptos Narrow"/>
        <family val="2"/>
        <scheme val="minor"/>
      </rPr>
      <t>: Texas General Land Office, U.S. Department of Housing and Urban Development; Texas Water Development Board; Texas Department of Transportation, Federal Highway Administration; Federal Emergency Management Agency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</si>
</sst>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quot;$&quot;#,##0.00"/>
    <numFmt numFmtId="165" formatCode="&quot;$&quot;#,##0"/>
    <numFmt numFmtId="166" formatCode="0.0"/>
    <numFmt numFmtId="167" formatCode="_(* #,##0_);_(* \(#,##0\);_(* &quot;-&quot;??_);_(@_)"/>
  </numFmts>
  <fonts count="31"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Arial"/>
      <family val="2"/>
    </font>
    <font>
      <u/>
      <sz val="11"/>
      <color theme="10"/>
      <name val="Arial"/>
      <family val="2"/>
    </font>
    <font>
      <i/>
      <sz val="11"/>
      <color theme="1"/>
      <name val="Aptos Narrow"/>
      <family val="2"/>
      <scheme val="minor"/>
    </font>
    <font>
      <sz val="10"/>
      <color rgb="FF000000"/>
      <name val="Arial"/>
      <family val="2"/>
    </font>
    <font>
      <u/>
      <sz val="10"/>
      <color theme="10"/>
      <name val="Arial"/>
      <family val="2"/>
    </font>
    <font>
      <sz val="11"/>
      <name val="Aptos Narrow"/>
      <family val="2"/>
      <scheme val="minor"/>
    </font>
    <font>
      <sz val="10"/>
      <color theme="1"/>
      <name val="Aptos Narrow"/>
      <family val="2"/>
      <scheme val="minor"/>
    </font>
    <font>
      <b/>
      <sz val="10"/>
      <color rgb="FF000000"/>
      <name val="Aptos Narrow"/>
      <family val="2"/>
      <scheme val="minor"/>
    </font>
    <font>
      <sz val="10"/>
      <color rgb="FF000000"/>
      <name val="Aptos Narrow"/>
      <family val="2"/>
      <scheme val="minor"/>
    </font>
    <font>
      <b/>
      <sz val="11"/>
      <name val="Aptos Narrow"/>
      <family val="2"/>
      <scheme val="minor"/>
    </font>
    <font>
      <b/>
      <sz val="10"/>
      <name val="Aptos Narrow"/>
      <family val="2"/>
      <scheme val="minor"/>
    </font>
    <font>
      <sz val="10"/>
      <name val="Aptos Narrow"/>
      <family val="2"/>
      <scheme val="minor"/>
    </font>
    <font>
      <vertAlign val="superscript"/>
      <sz val="10"/>
      <name val="Aptos Narrow"/>
      <family val="2"/>
      <scheme val="minor"/>
    </font>
    <font>
      <sz val="11"/>
      <color theme="0"/>
      <name val="Aptos Narrow"/>
      <family val="2"/>
      <scheme val="minor"/>
    </font>
    <font>
      <b/>
      <sz val="18"/>
      <color theme="1"/>
      <name val="Aptos Narrow"/>
      <family val="2"/>
      <scheme val="minor"/>
    </font>
    <font>
      <b/>
      <sz val="26"/>
      <color theme="1"/>
      <name val="Aptos Narrow"/>
      <family val="2"/>
      <scheme val="minor"/>
    </font>
    <font>
      <b/>
      <sz val="11"/>
      <color theme="0" tint="-0.499984740745262"/>
      <name val="Aptos Narrow"/>
      <family val="2"/>
      <scheme val="minor"/>
    </font>
    <font>
      <sz val="11"/>
      <color theme="0" tint="-0.499984740745262"/>
      <name val="Aptos Narrow"/>
      <family val="2"/>
      <scheme val="minor"/>
    </font>
    <font>
      <b/>
      <sz val="10"/>
      <color theme="0" tint="-0.499984740745262"/>
      <name val="Aptos Narrow"/>
      <family val="2"/>
      <scheme val="minor"/>
    </font>
    <font>
      <b/>
      <i/>
      <sz val="11"/>
      <color theme="1"/>
      <name val="Aptos Narrow"/>
      <family val="2"/>
      <scheme val="minor"/>
    </font>
    <font>
      <sz val="9"/>
      <color indexed="81"/>
      <name val="Tahoma"/>
      <family val="2"/>
    </font>
    <font>
      <b/>
      <sz val="9"/>
      <color indexed="81"/>
      <name val="Tahoma"/>
      <family val="2"/>
    </font>
    <font>
      <sz val="8"/>
      <name val="Aptos Narrow"/>
      <family val="2"/>
      <scheme val="minor"/>
    </font>
    <font>
      <sz val="8"/>
      <color theme="1"/>
      <name val="Aptos Narrow"/>
      <family val="2"/>
      <scheme val="minor"/>
    </font>
    <font>
      <sz val="12"/>
      <name val="Aptos Narrow"/>
      <family val="2"/>
      <scheme val="minor"/>
    </font>
    <font>
      <b/>
      <vertAlign val="superscript"/>
      <sz val="10"/>
      <name val="Aptos Narrow"/>
      <family val="2"/>
      <scheme val="minor"/>
    </font>
    <font>
      <sz val="11"/>
      <color rgb="FF000000"/>
      <name val="Aptos Narrow"/>
      <family val="2"/>
    </font>
    <font>
      <sz val="11"/>
      <color rgb="FF808080"/>
      <name val="Aptos Narrow"/>
      <family val="2"/>
    </font>
  </fonts>
  <fills count="5">
    <fill>
      <patternFill patternType="none"/>
    </fill>
    <fill>
      <patternFill patternType="gray125"/>
    </fill>
    <fill>
      <patternFill patternType="solid">
        <fgColor rgb="FF99CC00"/>
        <bgColor indexed="64"/>
      </patternFill>
    </fill>
    <fill>
      <patternFill patternType="solid">
        <fgColor theme="2"/>
        <bgColor indexed="64"/>
      </patternFill>
    </fill>
    <fill>
      <patternFill patternType="solid">
        <fgColor theme="0" tint="-4.9989318521683403E-2"/>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s>
  <cellStyleXfs count="10">
    <xf numFmtId="0" fontId="0" fillId="0" borderId="0"/>
    <xf numFmtId="0" fontId="1" fillId="0" borderId="0"/>
    <xf numFmtId="43" fontId="1" fillId="0" borderId="0" applyFont="0" applyFill="0" applyBorder="0" applyAlignment="0" applyProtection="0"/>
    <xf numFmtId="0" fontId="3" fillId="0" borderId="0"/>
    <xf numFmtId="0" fontId="4" fillId="0" borderId="0" applyNumberFormat="0" applyFill="0" applyBorder="0" applyAlignment="0" applyProtection="0"/>
    <xf numFmtId="0" fontId="6" fillId="0" borderId="0"/>
    <xf numFmtId="0" fontId="7" fillId="0" borderId="0" applyNumberForma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34">
    <xf numFmtId="0" fontId="0" fillId="0" borderId="0" xfId="0"/>
    <xf numFmtId="165" fontId="0" fillId="0" borderId="0" xfId="0" applyNumberFormat="1"/>
    <xf numFmtId="165" fontId="2" fillId="0" borderId="0" xfId="0" applyNumberFormat="1" applyFont="1"/>
    <xf numFmtId="0" fontId="2" fillId="0" borderId="0" xfId="0" applyFont="1"/>
    <xf numFmtId="1" fontId="0" fillId="0" borderId="0" xfId="0" applyNumberFormat="1"/>
    <xf numFmtId="0" fontId="8" fillId="0" borderId="0" xfId="0" applyFont="1"/>
    <xf numFmtId="164" fontId="0" fillId="0" borderId="11" xfId="0" applyNumberFormat="1" applyBorder="1"/>
    <xf numFmtId="0" fontId="2" fillId="0" borderId="9" xfId="0" applyFont="1" applyBorder="1" applyAlignment="1">
      <alignment horizontal="left" wrapText="1"/>
    </xf>
    <xf numFmtId="166" fontId="0" fillId="0" borderId="0" xfId="0" applyNumberFormat="1"/>
    <xf numFmtId="165" fontId="0" fillId="0" borderId="11" xfId="0" applyNumberFormat="1" applyBorder="1"/>
    <xf numFmtId="6" fontId="11" fillId="0" borderId="11" xfId="0" applyNumberFormat="1" applyFont="1" applyBorder="1" applyAlignment="1">
      <alignment horizontal="right"/>
    </xf>
    <xf numFmtId="3" fontId="11" fillId="0" borderId="11" xfId="0" applyNumberFormat="1" applyFont="1" applyBorder="1" applyAlignment="1">
      <alignment horizontal="right" wrapText="1"/>
    </xf>
    <xf numFmtId="0" fontId="2" fillId="0" borderId="0" xfId="0" applyFont="1" applyAlignment="1">
      <alignment horizontal="left" vertical="top" wrapText="1"/>
    </xf>
    <xf numFmtId="9" fontId="0" fillId="0" borderId="0" xfId="8" applyFont="1" applyBorder="1" applyAlignment="1">
      <alignment horizontal="right" vertical="top" wrapText="1"/>
    </xf>
    <xf numFmtId="0" fontId="2" fillId="0" borderId="0" xfId="0" applyFont="1" applyAlignment="1">
      <alignment horizontal="left" wrapText="1"/>
    </xf>
    <xf numFmtId="0" fontId="2" fillId="0" borderId="12" xfId="0" applyFont="1" applyBorder="1"/>
    <xf numFmtId="0" fontId="2" fillId="0" borderId="13" xfId="0" applyFont="1" applyBorder="1"/>
    <xf numFmtId="0" fontId="2" fillId="0" borderId="14" xfId="0" applyFont="1" applyBorder="1"/>
    <xf numFmtId="0" fontId="12" fillId="0" borderId="12" xfId="0" applyFont="1" applyBorder="1"/>
    <xf numFmtId="10" fontId="8" fillId="0" borderId="14" xfId="8" applyNumberFormat="1" applyFont="1" applyBorder="1"/>
    <xf numFmtId="0" fontId="12" fillId="0" borderId="15" xfId="0" applyFont="1" applyBorder="1"/>
    <xf numFmtId="0" fontId="8" fillId="0" borderId="16" xfId="0" applyFont="1" applyBorder="1"/>
    <xf numFmtId="0" fontId="2" fillId="0" borderId="15" xfId="0" applyFont="1" applyBorder="1"/>
    <xf numFmtId="0" fontId="12" fillId="0" borderId="15" xfId="0" applyFont="1" applyBorder="1" applyAlignment="1">
      <alignment vertical="center" wrapText="1"/>
    </xf>
    <xf numFmtId="0" fontId="12" fillId="0" borderId="17" xfId="0" applyFont="1" applyBorder="1" applyAlignment="1">
      <alignment vertical="center" wrapText="1"/>
    </xf>
    <xf numFmtId="0" fontId="10" fillId="0" borderId="12" xfId="0" applyFont="1" applyBorder="1"/>
    <xf numFmtId="0" fontId="10" fillId="0" borderId="13" xfId="0" applyFont="1" applyBorder="1" applyAlignment="1">
      <alignment vertical="center"/>
    </xf>
    <xf numFmtId="0" fontId="10" fillId="0" borderId="13" xfId="0" applyFont="1" applyBorder="1"/>
    <xf numFmtId="0" fontId="10" fillId="0" borderId="14" xfId="0" applyFont="1" applyBorder="1"/>
    <xf numFmtId="0" fontId="10" fillId="0" borderId="15" xfId="0" applyFont="1" applyBorder="1" applyAlignment="1">
      <alignment vertical="center" wrapText="1"/>
    </xf>
    <xf numFmtId="6" fontId="11" fillId="0" borderId="16" xfId="0" applyNumberFormat="1" applyFont="1" applyBorder="1" applyAlignment="1">
      <alignment horizontal="right"/>
    </xf>
    <xf numFmtId="0" fontId="10" fillId="0" borderId="17" xfId="0" applyFont="1" applyBorder="1" applyAlignment="1">
      <alignment vertical="center" wrapText="1"/>
    </xf>
    <xf numFmtId="6" fontId="9" fillId="0" borderId="18" xfId="0" applyNumberFormat="1" applyFont="1" applyBorder="1"/>
    <xf numFmtId="6" fontId="11" fillId="0" borderId="18" xfId="0" applyNumberFormat="1" applyFont="1" applyBorder="1" applyAlignment="1">
      <alignment horizontal="right"/>
    </xf>
    <xf numFmtId="6" fontId="11" fillId="0" borderId="19" xfId="0" applyNumberFormat="1" applyFont="1" applyBorder="1" applyAlignment="1">
      <alignment horizontal="right"/>
    </xf>
    <xf numFmtId="0" fontId="0" fillId="0" borderId="0" xfId="0" applyAlignment="1">
      <alignment horizontal="left" wrapText="1"/>
    </xf>
    <xf numFmtId="2" fontId="0" fillId="0" borderId="8" xfId="0" applyNumberFormat="1" applyBorder="1" applyAlignment="1">
      <alignment horizontal="right" vertical="top" wrapText="1"/>
    </xf>
    <xf numFmtId="2" fontId="0" fillId="0" borderId="0" xfId="0" applyNumberFormat="1" applyAlignment="1">
      <alignment horizontal="right" vertical="top" wrapText="1"/>
    </xf>
    <xf numFmtId="0" fontId="13" fillId="0" borderId="1" xfId="0" applyFont="1" applyBorder="1" applyAlignment="1">
      <alignment horizontal="center" vertical="center" wrapText="1"/>
    </xf>
    <xf numFmtId="0" fontId="13" fillId="0" borderId="8" xfId="0" applyFont="1" applyBorder="1" applyAlignment="1">
      <alignment horizontal="center" vertical="center" wrapText="1"/>
    </xf>
    <xf numFmtId="0" fontId="14" fillId="0" borderId="6" xfId="0" applyFont="1" applyBorder="1" applyAlignment="1">
      <alignment vertical="center" wrapText="1"/>
    </xf>
    <xf numFmtId="165" fontId="14" fillId="0" borderId="6" xfId="0" applyNumberFormat="1" applyFont="1" applyBorder="1" applyAlignment="1">
      <alignment vertical="center" wrapText="1"/>
    </xf>
    <xf numFmtId="165" fontId="14" fillId="0" borderId="6" xfId="7" applyNumberFormat="1" applyFont="1" applyFill="1" applyBorder="1" applyAlignment="1">
      <alignment horizontal="right" vertical="center" wrapText="1"/>
    </xf>
    <xf numFmtId="1" fontId="0" fillId="0" borderId="16" xfId="0" applyNumberFormat="1" applyBorder="1"/>
    <xf numFmtId="164" fontId="0" fillId="0" borderId="18" xfId="0" applyNumberFormat="1" applyBorder="1"/>
    <xf numFmtId="0" fontId="13" fillId="0" borderId="2" xfId="0" applyFont="1" applyBorder="1" applyAlignment="1">
      <alignment vertical="center" wrapText="1"/>
    </xf>
    <xf numFmtId="0" fontId="14" fillId="0" borderId="1" xfId="0" applyFont="1" applyBorder="1" applyAlignment="1">
      <alignment vertical="center" wrapText="1"/>
    </xf>
    <xf numFmtId="0" fontId="14" fillId="0" borderId="0" xfId="0" applyFont="1" applyAlignment="1">
      <alignment vertical="top" wrapText="1"/>
    </xf>
    <xf numFmtId="0" fontId="14" fillId="0" borderId="3" xfId="0" applyFont="1" applyBorder="1" applyAlignment="1">
      <alignment vertical="center" wrapText="1"/>
    </xf>
    <xf numFmtId="0" fontId="13" fillId="0" borderId="5" xfId="0" applyFont="1" applyBorder="1" applyAlignment="1">
      <alignment horizontal="center" vertical="center" wrapText="1"/>
    </xf>
    <xf numFmtId="165" fontId="0" fillId="0" borderId="16" xfId="0" applyNumberFormat="1" applyBorder="1"/>
    <xf numFmtId="0" fontId="2" fillId="0" borderId="17" xfId="0" applyFont="1" applyBorder="1"/>
    <xf numFmtId="165" fontId="0" fillId="0" borderId="18" xfId="0" applyNumberFormat="1" applyBorder="1"/>
    <xf numFmtId="165" fontId="0" fillId="0" borderId="19" xfId="0" applyNumberFormat="1" applyBorder="1"/>
    <xf numFmtId="0" fontId="16" fillId="0" borderId="20" xfId="0" applyFont="1" applyBorder="1"/>
    <xf numFmtId="166" fontId="0" fillId="0" borderId="16" xfId="0" applyNumberFormat="1" applyBorder="1"/>
    <xf numFmtId="166" fontId="0" fillId="0" borderId="19" xfId="0" applyNumberFormat="1" applyBorder="1"/>
    <xf numFmtId="0" fontId="17" fillId="0" borderId="0" xfId="0" applyFont="1"/>
    <xf numFmtId="0" fontId="18" fillId="0" borderId="0" xfId="0" applyFont="1"/>
    <xf numFmtId="165" fontId="14" fillId="2" borderId="6" xfId="0" applyNumberFormat="1" applyFont="1" applyFill="1" applyBorder="1" applyAlignment="1">
      <alignment vertical="center" wrapText="1"/>
    </xf>
    <xf numFmtId="2" fontId="0" fillId="0" borderId="16" xfId="0" applyNumberFormat="1" applyBorder="1"/>
    <xf numFmtId="2" fontId="0" fillId="0" borderId="19" xfId="0" applyNumberFormat="1" applyBorder="1"/>
    <xf numFmtId="0" fontId="19" fillId="0" borderId="0" xfId="0" applyFont="1"/>
    <xf numFmtId="0" fontId="20" fillId="0" borderId="0" xfId="0" applyFont="1"/>
    <xf numFmtId="0" fontId="19" fillId="0" borderId="12" xfId="0" applyFont="1" applyBorder="1"/>
    <xf numFmtId="0" fontId="19" fillId="0" borderId="13" xfId="0" applyFont="1" applyBorder="1"/>
    <xf numFmtId="0" fontId="19" fillId="0" borderId="14" xfId="0" applyFont="1" applyBorder="1"/>
    <xf numFmtId="0" fontId="20" fillId="0" borderId="11" xfId="0" applyFont="1" applyBorder="1"/>
    <xf numFmtId="2" fontId="20" fillId="0" borderId="18" xfId="0" applyNumberFormat="1" applyFont="1" applyBorder="1"/>
    <xf numFmtId="0" fontId="20" fillId="0" borderId="19" xfId="0" applyFont="1" applyBorder="1"/>
    <xf numFmtId="0" fontId="20" fillId="0" borderId="4" xfId="0" applyFont="1" applyBorder="1"/>
    <xf numFmtId="0" fontId="20" fillId="0" borderId="13" xfId="0" applyFont="1" applyBorder="1"/>
    <xf numFmtId="0" fontId="20" fillId="0" borderId="14" xfId="0" applyFont="1" applyBorder="1"/>
    <xf numFmtId="0" fontId="19" fillId="0" borderId="15" xfId="0" applyFont="1" applyBorder="1"/>
    <xf numFmtId="0" fontId="19" fillId="0" borderId="11" xfId="0" applyFont="1" applyBorder="1"/>
    <xf numFmtId="0" fontId="19" fillId="0" borderId="16" xfId="0" applyFont="1" applyBorder="1"/>
    <xf numFmtId="9" fontId="20" fillId="0" borderId="11" xfId="8" applyFont="1" applyBorder="1"/>
    <xf numFmtId="9" fontId="20" fillId="0" borderId="16" xfId="8" applyFont="1" applyBorder="1"/>
    <xf numFmtId="9" fontId="20" fillId="0" borderId="18" xfId="8" applyFont="1" applyBorder="1"/>
    <xf numFmtId="9" fontId="20" fillId="0" borderId="19" xfId="8" applyFont="1" applyBorder="1"/>
    <xf numFmtId="0" fontId="19" fillId="0" borderId="17" xfId="0" applyFont="1" applyBorder="1"/>
    <xf numFmtId="0" fontId="21" fillId="0" borderId="15" xfId="0" applyFont="1" applyBorder="1" applyAlignment="1">
      <alignment vertical="center" wrapText="1"/>
    </xf>
    <xf numFmtId="0" fontId="21" fillId="0" borderId="17" xfId="0" applyFont="1" applyBorder="1" applyAlignment="1">
      <alignment vertical="center" wrapText="1"/>
    </xf>
    <xf numFmtId="0" fontId="20" fillId="0" borderId="16" xfId="0" applyFont="1" applyBorder="1" applyAlignment="1">
      <alignment wrapText="1"/>
    </xf>
    <xf numFmtId="0" fontId="20" fillId="0" borderId="19" xfId="0" applyFont="1" applyBorder="1" applyAlignment="1">
      <alignment wrapText="1"/>
    </xf>
    <xf numFmtId="0" fontId="19" fillId="0" borderId="17" xfId="0" applyFont="1" applyBorder="1" applyAlignment="1">
      <alignment horizontal="left" vertical="center" indent="2"/>
    </xf>
    <xf numFmtId="0" fontId="20" fillId="0" borderId="18" xfId="0" applyFont="1" applyBorder="1"/>
    <xf numFmtId="165" fontId="14" fillId="4" borderId="6" xfId="7" applyNumberFormat="1" applyFont="1" applyFill="1" applyBorder="1" applyAlignment="1">
      <alignment horizontal="right" vertical="center" wrapText="1"/>
    </xf>
    <xf numFmtId="0" fontId="13" fillId="0" borderId="2" xfId="0" applyFont="1" applyBorder="1" applyAlignment="1">
      <alignment horizontal="center" vertical="center" wrapText="1"/>
    </xf>
    <xf numFmtId="164" fontId="25" fillId="0" borderId="6" xfId="0" applyNumberFormat="1" applyFont="1" applyBorder="1" applyAlignment="1">
      <alignment horizontal="left" vertical="center" wrapText="1"/>
    </xf>
    <xf numFmtId="0" fontId="5" fillId="0" borderId="0" xfId="0" applyFont="1" applyAlignment="1">
      <alignment vertical="top" wrapText="1"/>
    </xf>
    <xf numFmtId="0" fontId="12" fillId="0" borderId="15" xfId="0" applyFont="1" applyBorder="1" applyAlignment="1">
      <alignment horizontal="left" vertical="center" wrapText="1"/>
    </xf>
    <xf numFmtId="0" fontId="0" fillId="2" borderId="14" xfId="0" applyFill="1" applyBorder="1" applyAlignment="1">
      <alignment horizontal="left"/>
    </xf>
    <xf numFmtId="0" fontId="0" fillId="0" borderId="15" xfId="0" applyBorder="1" applyAlignment="1">
      <alignment horizontal="right"/>
    </xf>
    <xf numFmtId="0" fontId="0" fillId="2" borderId="16" xfId="0" applyFill="1" applyBorder="1" applyAlignment="1">
      <alignment horizontal="left"/>
    </xf>
    <xf numFmtId="0" fontId="0" fillId="2" borderId="16" xfId="0" applyFill="1" applyBorder="1">
      <extLst>
        <ext xmlns:xfpb="http://schemas.microsoft.com/office/spreadsheetml/2022/featurepropertybag" uri="{C7286773-470A-42A8-94C5-96B5CB345126}">
          <xfpb:xfComplement i="0"/>
        </ext>
      </extLst>
    </xf>
    <xf numFmtId="0" fontId="0" fillId="2" borderId="16" xfId="0" applyFill="1" applyBorder="1"/>
    <xf numFmtId="0" fontId="0" fillId="0" borderId="15" xfId="0" applyBorder="1" applyAlignment="1">
      <alignment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9" fillId="0" borderId="0" xfId="0" applyFont="1" applyAlignment="1">
      <alignment vertical="center"/>
    </xf>
    <xf numFmtId="0" fontId="5" fillId="0" borderId="15" xfId="0" applyFont="1" applyBorder="1" applyAlignment="1">
      <alignment wrapText="1"/>
    </xf>
    <xf numFmtId="0" fontId="0" fillId="0" borderId="17" xfId="0" applyBorder="1" applyAlignment="1">
      <alignment horizontal="right"/>
    </xf>
    <xf numFmtId="0" fontId="0" fillId="2" borderId="19" xfId="0" applyFill="1" applyBorder="1" applyAlignment="1">
      <alignment horizontal="right"/>
    </xf>
    <xf numFmtId="0" fontId="0" fillId="0" borderId="12" xfId="0" applyBorder="1" applyAlignment="1">
      <alignment wrapText="1"/>
    </xf>
    <xf numFmtId="167" fontId="8" fillId="0" borderId="16" xfId="2" applyNumberFormat="1" applyFont="1" applyBorder="1"/>
    <xf numFmtId="6" fontId="30" fillId="0" borderId="18" xfId="0" applyNumberFormat="1" applyFont="1" applyBorder="1"/>
    <xf numFmtId="165" fontId="20" fillId="0" borderId="18" xfId="0" applyNumberFormat="1" applyFont="1" applyBorder="1"/>
    <xf numFmtId="0" fontId="0" fillId="0" borderId="0" xfId="0" applyAlignment="1">
      <alignment horizontal="left" wrapText="1"/>
    </xf>
    <xf numFmtId="0" fontId="22" fillId="4" borderId="0" xfId="0" applyFont="1" applyFill="1" applyAlignment="1">
      <alignment horizontal="left" wrapText="1"/>
    </xf>
    <xf numFmtId="0" fontId="14" fillId="0" borderId="7" xfId="0" applyFont="1" applyBorder="1" applyAlignment="1">
      <alignment horizontal="left" vertical="top" wrapText="1"/>
    </xf>
    <xf numFmtId="0" fontId="14" fillId="0" borderId="10" xfId="0" applyFont="1" applyBorder="1" applyAlignment="1">
      <alignment horizontal="left" vertical="top" wrapText="1"/>
    </xf>
    <xf numFmtId="0" fontId="14" fillId="0" borderId="2" xfId="0" applyFont="1" applyBorder="1" applyAlignment="1">
      <alignment horizontal="left" vertical="top" wrapText="1"/>
    </xf>
    <xf numFmtId="0" fontId="5" fillId="3" borderId="0" xfId="0" applyFont="1" applyFill="1" applyAlignment="1">
      <alignment horizontal="left" wrapText="1"/>
    </xf>
    <xf numFmtId="0" fontId="13" fillId="0" borderId="7"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 xfId="0" applyFont="1" applyBorder="1" applyAlignment="1">
      <alignment horizontal="center" vertical="center" wrapText="1"/>
    </xf>
    <xf numFmtId="164" fontId="25" fillId="0" borderId="7" xfId="0" applyNumberFormat="1" applyFont="1" applyBorder="1" applyAlignment="1">
      <alignment horizontal="left" vertical="top" wrapText="1"/>
    </xf>
    <xf numFmtId="164" fontId="25" fillId="0" borderId="10" xfId="0" applyNumberFormat="1" applyFont="1" applyBorder="1" applyAlignment="1">
      <alignment horizontal="left" vertical="top" wrapText="1"/>
    </xf>
    <xf numFmtId="164" fontId="25" fillId="0" borderId="2" xfId="0" applyNumberFormat="1" applyFont="1" applyBorder="1" applyAlignment="1">
      <alignment horizontal="left" vertical="top" wrapText="1"/>
    </xf>
    <xf numFmtId="0" fontId="25" fillId="0" borderId="7" xfId="0" applyFont="1" applyBorder="1" applyAlignment="1">
      <alignment horizontal="left" vertical="top" wrapText="1"/>
    </xf>
    <xf numFmtId="0" fontId="25" fillId="0" borderId="10" xfId="0" applyFont="1" applyBorder="1" applyAlignment="1">
      <alignment horizontal="left" vertical="top" wrapText="1"/>
    </xf>
    <xf numFmtId="0" fontId="25" fillId="0" borderId="2" xfId="0" applyFont="1" applyBorder="1" applyAlignment="1">
      <alignment horizontal="left" vertical="top" wrapText="1"/>
    </xf>
    <xf numFmtId="0" fontId="9" fillId="0" borderId="7" xfId="0" applyFont="1" applyBorder="1" applyAlignment="1">
      <alignment horizontal="left" vertical="top" wrapText="1"/>
    </xf>
    <xf numFmtId="0" fontId="9" fillId="0" borderId="10" xfId="0" applyFont="1" applyBorder="1" applyAlignment="1">
      <alignment horizontal="left" vertical="top" wrapText="1"/>
    </xf>
    <xf numFmtId="0" fontId="9" fillId="0" borderId="2" xfId="0" applyFont="1" applyBorder="1" applyAlignment="1">
      <alignment horizontal="left" vertical="top" wrapText="1"/>
    </xf>
    <xf numFmtId="164" fontId="25" fillId="0" borderId="7" xfId="0" applyNumberFormat="1" applyFont="1" applyBorder="1" applyAlignment="1">
      <alignment horizontal="left" vertical="center" wrapText="1"/>
    </xf>
    <xf numFmtId="164" fontId="25" fillId="0" borderId="10" xfId="0" applyNumberFormat="1" applyFont="1" applyBorder="1" applyAlignment="1">
      <alignment horizontal="left" vertical="center" wrapText="1"/>
    </xf>
    <xf numFmtId="164" fontId="25" fillId="0" borderId="2" xfId="0" applyNumberFormat="1" applyFont="1" applyBorder="1" applyAlignment="1">
      <alignment horizontal="left" vertical="center" wrapText="1"/>
    </xf>
    <xf numFmtId="0" fontId="27" fillId="0" borderId="7" xfId="0" applyFont="1" applyBorder="1" applyAlignment="1">
      <alignment horizontal="left" vertical="top" wrapText="1"/>
    </xf>
    <xf numFmtId="0" fontId="27" fillId="0" borderId="10" xfId="0" applyFont="1" applyBorder="1" applyAlignment="1">
      <alignment horizontal="left" vertical="top" wrapText="1"/>
    </xf>
    <xf numFmtId="0" fontId="27" fillId="0" borderId="2" xfId="0" applyFont="1" applyBorder="1" applyAlignment="1">
      <alignment horizontal="left" vertical="top" wrapText="1"/>
    </xf>
    <xf numFmtId="0" fontId="5" fillId="3" borderId="0" xfId="0" applyFont="1" applyFill="1" applyAlignment="1">
      <alignment horizontal="left" vertical="top" wrapText="1"/>
    </xf>
  </cellXfs>
  <cellStyles count="10">
    <cellStyle name="Comma" xfId="2" builtinId="3"/>
    <cellStyle name="Currency" xfId="7" builtinId="4"/>
    <cellStyle name="Hyperlink 2" xfId="4" xr:uid="{FCFFCFC7-343F-4C4B-90E8-C6EC070EB675}"/>
    <cellStyle name="Hyperlink 3" xfId="6" xr:uid="{B372774C-74B9-4897-B7C7-09FF6BD5B2EC}"/>
    <cellStyle name="Normal" xfId="0" builtinId="0"/>
    <cellStyle name="Normal 2" xfId="3" xr:uid="{833C1C0A-2D7D-41BE-B303-58892E98433E}"/>
    <cellStyle name="Normal 3" xfId="5" xr:uid="{E23E6A87-DAD4-407C-9C15-C402C58219E4}"/>
    <cellStyle name="Normal 3 2 2" xfId="1" xr:uid="{D9F0BBB2-A277-4957-9EFC-7085C7B1887C}"/>
    <cellStyle name="Normal 4" xfId="9" xr:uid="{3F3DF4B4-1465-48CE-AAA4-86A086913AC8}"/>
    <cellStyle name="Percent" xfId="8" builtinId="5"/>
  </cellStyles>
  <dxfs count="0"/>
  <tableStyles count="0" defaultTableStyle="TableStyleMedium2" defaultPivotStyle="PivotStyleLight16"/>
  <colors>
    <mruColors>
      <color rgb="FF99CC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E6C1D-972B-4C29-882C-EA6E408F711A}">
  <dimension ref="B2:R4"/>
  <sheetViews>
    <sheetView tabSelected="1" workbookViewId="0">
      <selection activeCell="B5" sqref="B5"/>
    </sheetView>
  </sheetViews>
  <sheetFormatPr defaultRowHeight="14.5" x14ac:dyDescent="0.35"/>
  <sheetData>
    <row r="2" spans="2:18" ht="34.5" x14ac:dyDescent="0.8">
      <c r="B2" s="58" t="s">
        <v>0</v>
      </c>
    </row>
    <row r="4" spans="2:18" ht="110" customHeight="1" x14ac:dyDescent="0.35">
      <c r="B4" s="109" t="s">
        <v>169</v>
      </c>
      <c r="C4" s="109"/>
      <c r="D4" s="109"/>
      <c r="E4" s="109"/>
      <c r="F4" s="109"/>
      <c r="G4" s="109"/>
      <c r="H4" s="109"/>
      <c r="I4" s="109"/>
      <c r="J4" s="109"/>
      <c r="K4" s="109"/>
      <c r="L4" s="109"/>
      <c r="M4" s="109"/>
      <c r="N4" s="109"/>
      <c r="O4" s="109"/>
      <c r="P4" s="109"/>
      <c r="Q4" s="109"/>
      <c r="R4" s="109"/>
    </row>
  </sheetData>
  <mergeCells count="1">
    <mergeCell ref="B4:R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1562-51DE-4F0B-BA70-18924359896F}">
  <dimension ref="B2:S28"/>
  <sheetViews>
    <sheetView workbookViewId="0">
      <selection activeCell="C19" sqref="C19"/>
    </sheetView>
  </sheetViews>
  <sheetFormatPr defaultRowHeight="14.5" x14ac:dyDescent="0.35"/>
  <cols>
    <col min="1" max="1" width="3.54296875" customWidth="1"/>
    <col min="2" max="2" width="25" customWidth="1"/>
    <col min="3" max="3" width="14.54296875" customWidth="1"/>
    <col min="5" max="5" width="23.453125" customWidth="1"/>
    <col min="6" max="6" width="11.453125" customWidth="1"/>
    <col min="7" max="7" width="20.54296875" customWidth="1"/>
    <col min="8" max="8" width="11.81640625" customWidth="1"/>
    <col min="9" max="9" width="10.54296875" customWidth="1"/>
    <col min="10" max="10" width="8.81640625" bestFit="1" customWidth="1"/>
    <col min="11" max="11" width="12.54296875" customWidth="1"/>
    <col min="12" max="12" width="10.81640625" bestFit="1" customWidth="1"/>
    <col min="13" max="14" width="12.453125" bestFit="1" customWidth="1"/>
    <col min="15" max="15" width="11.26953125" bestFit="1" customWidth="1"/>
    <col min="16" max="16" width="10.26953125" bestFit="1" customWidth="1"/>
  </cols>
  <sheetData>
    <row r="2" spans="2:19" ht="23.5" x14ac:dyDescent="0.55000000000000004">
      <c r="B2" s="57" t="s">
        <v>1</v>
      </c>
    </row>
    <row r="4" spans="2:19" ht="29.15" customHeight="1" x14ac:dyDescent="0.35">
      <c r="B4" s="110" t="s">
        <v>2</v>
      </c>
      <c r="C4" s="110"/>
      <c r="D4" s="110"/>
      <c r="E4" s="110"/>
      <c r="F4" s="110"/>
      <c r="G4" s="110"/>
      <c r="H4" s="110"/>
      <c r="I4" s="110"/>
      <c r="J4" s="110"/>
      <c r="K4" s="110"/>
      <c r="L4" s="110"/>
      <c r="M4" s="110"/>
      <c r="N4" s="110"/>
    </row>
    <row r="5" spans="2:19" x14ac:dyDescent="0.35">
      <c r="R5" s="3"/>
    </row>
    <row r="6" spans="2:19" x14ac:dyDescent="0.35">
      <c r="B6" s="3" t="s">
        <v>3</v>
      </c>
    </row>
    <row r="7" spans="2:19" ht="15" thickBot="1" x14ac:dyDescent="0.4">
      <c r="E7" s="2"/>
      <c r="F7" s="1"/>
      <c r="G7" s="1"/>
      <c r="H7" s="1"/>
      <c r="I7" s="1"/>
      <c r="J7" s="1"/>
      <c r="K7" s="1"/>
      <c r="L7" s="1"/>
      <c r="M7" s="1"/>
      <c r="N7" s="1"/>
      <c r="O7" s="1"/>
    </row>
    <row r="8" spans="2:19" ht="29" x14ac:dyDescent="0.35">
      <c r="B8" s="105" t="s">
        <v>4</v>
      </c>
      <c r="C8" s="92"/>
      <c r="F8" s="1"/>
      <c r="G8" s="1"/>
      <c r="H8" s="1"/>
      <c r="I8" s="1"/>
      <c r="J8" s="1"/>
      <c r="K8" s="1"/>
      <c r="L8" s="1"/>
      <c r="M8" s="1"/>
      <c r="N8" s="1"/>
      <c r="O8" s="1"/>
      <c r="P8" s="1"/>
    </row>
    <row r="9" spans="2:19" ht="29" x14ac:dyDescent="0.35">
      <c r="B9" s="97" t="s">
        <v>5</v>
      </c>
      <c r="C9" s="96"/>
    </row>
    <row r="10" spans="2:19" ht="43.5" x14ac:dyDescent="0.35">
      <c r="B10" s="97" t="s">
        <v>6</v>
      </c>
      <c r="C10" s="94"/>
    </row>
    <row r="11" spans="2:19" ht="29" x14ac:dyDescent="0.35">
      <c r="B11" s="97" t="s">
        <v>7</v>
      </c>
      <c r="C11" s="96"/>
      <c r="R11" s="8"/>
      <c r="S11" s="8"/>
    </row>
    <row r="12" spans="2:19" ht="29" x14ac:dyDescent="0.35">
      <c r="B12" s="97" t="s">
        <v>8</v>
      </c>
      <c r="C12" s="94"/>
    </row>
    <row r="13" spans="2:19" x14ac:dyDescent="0.35">
      <c r="B13" s="102" t="s">
        <v>9</v>
      </c>
      <c r="C13" s="96"/>
    </row>
    <row r="14" spans="2:19" x14ac:dyDescent="0.35">
      <c r="B14" s="93" t="s">
        <v>10</v>
      </c>
      <c r="C14" s="94"/>
      <c r="L14" s="1"/>
      <c r="M14" s="1"/>
      <c r="N14" s="1"/>
      <c r="O14" s="1"/>
      <c r="P14" s="1"/>
      <c r="Q14" s="3"/>
      <c r="R14" s="3"/>
    </row>
    <row r="15" spans="2:19" x14ac:dyDescent="0.35">
      <c r="B15" s="93" t="s">
        <v>11</v>
      </c>
      <c r="C15" s="94"/>
      <c r="Q15" s="1"/>
      <c r="R15" s="1"/>
    </row>
    <row r="16" spans="2:19" ht="15" thickBot="1" x14ac:dyDescent="0.4">
      <c r="B16" s="93" t="s">
        <v>12</v>
      </c>
      <c r="C16" s="96"/>
      <c r="E16" s="3" t="s">
        <v>13</v>
      </c>
      <c r="F16" t="str">
        <f>IF(COUNTIF(C18:C24,FALSE)=7,"",CONCATENATE("Quantified benefits for "&amp;C17," ",C16))</f>
        <v/>
      </c>
      <c r="H16" t="str">
        <f>IF(C23=FALSE,"",CONCATENATE("or ",IF((OR(C25="",1)),"for one tree",C25&amp;" trees")))</f>
        <v/>
      </c>
      <c r="Q16" s="1"/>
      <c r="R16" s="1"/>
    </row>
    <row r="17" spans="2:18" ht="58" x14ac:dyDescent="0.35">
      <c r="B17" s="93" t="s">
        <v>14</v>
      </c>
      <c r="C17" s="94"/>
      <c r="E17" s="98" t="s">
        <v>15</v>
      </c>
      <c r="F17" s="99" t="s">
        <v>16</v>
      </c>
      <c r="G17" s="99" t="s">
        <v>17</v>
      </c>
      <c r="H17" s="99" t="s">
        <v>18</v>
      </c>
      <c r="I17" s="99" t="s">
        <v>19</v>
      </c>
      <c r="J17" s="99" t="s">
        <v>20</v>
      </c>
      <c r="K17" s="99" t="s">
        <v>21</v>
      </c>
      <c r="L17" s="99" t="s">
        <v>22</v>
      </c>
      <c r="M17" s="99" t="s">
        <v>23</v>
      </c>
      <c r="N17" s="99" t="s">
        <v>24</v>
      </c>
      <c r="O17" s="99" t="s">
        <v>25</v>
      </c>
      <c r="P17" s="100" t="s">
        <v>26</v>
      </c>
      <c r="Q17" s="1"/>
      <c r="R17" s="1"/>
    </row>
    <row r="18" spans="2:18" x14ac:dyDescent="0.35">
      <c r="B18" s="93" t="s">
        <v>27</v>
      </c>
      <c r="C18" s="95" t="b">
        <v>0</v>
      </c>
      <c r="E18" s="2" t="str">
        <f>IF(OR($C$16=0, $C$16="", NOT($C18)), "", IF($C$16="Acres", Results!B4, IF($C$16="Square feet", Results!B14, "")))</f>
        <v/>
      </c>
      <c r="F18" s="1" t="str">
        <f>IFERROR(IF(NOT($C18), "", IF(OR($C$16=0, $C$16=""), "", IF($C$16="Acres", IF(Results!C4&lt;10, ROUND(Results!C4,0), IF(Results!C4&lt;100, ROUND(Results!C4,-1), IF(Results!C4&lt;1000, ROUND(Results!C4,-2), ROUND(Results!C4,-3)))), IF($C$16="Square feet", IF(Results!C14&lt;10, ROUND(Results!C14,0), IF(Results!C14&lt;100, ROUND(Results!C14,-1), IF(Results!C14&lt;1000, ROUND(Results!C14,-2), ROUND(Results!C14,-3)))), "")))),"Choose a watershed...")</f>
        <v/>
      </c>
      <c r="G18" s="1" t="str">
        <f>IFERROR(IF(NOT($C18), "", IF(OR($C$16=0, $C$16=""), "", IF($C$16="Acres", IF(Results!D4&lt;10, ROUND(Results!D4,0), IF(Results!D4&lt;100, ROUND(Results!D4,-1), IF(Results!D4&lt;1000, ROUND(Results!D4,-2), ROUND(Results!D4,-3)))), IF($C$16="Square feet", IF(Results!D14&lt;10, ROUND(Results!D14,0), IF(Results!D14&lt;100, ROUND(Results!D14,-1), IF(Results!D14&lt;1000, ROUND(Results!D14,-2), ROUND(Results!D14,-3)))), "")))),"Awaiting user input...")</f>
        <v/>
      </c>
      <c r="H18" s="1" t="str">
        <f>IFERROR(IF(NOT($C18), "", IF(OR($C$16=0, $C$16=""), "", IF($C$16="Acres", IF(Results!E4&lt;10, ROUND(Results!E4,0), IF(Results!E4&lt;100, ROUND(Results!E4,-1), IF(Results!E4&lt;1000, ROUND(Results!E4,-2), ROUND(Results!E4,-3)))), IF($C$16="Square feet", IF(Results!E14&lt;10, ROUND(Results!E14,0), IF(Results!E14&lt;100, ROUND(Results!E14,-1), IF(Results!E14&lt;1000, ROUND(Results!E14,-2), ROUND(Results!E14,-3)))), "")))),"Awaiting user input...")</f>
        <v/>
      </c>
      <c r="I18" s="1" t="str">
        <f>IFERROR(IF(NOT($C18), "", IF(OR($C$16=0, $C$16=""), "", IF($C$16="Acres", IF(Results!F4&lt;10, ROUND(Results!F4,0), IF(Results!F4&lt;100, ROUND(Results!F4,-1), IF(Results!F4&lt;1000, ROUND(Results!F4,-2), ROUND(Results!F4,-3)))), IF($C$16="Square feet", IF(Results!F14&lt;10, ROUND(Results!F14,0), IF(Results!F14&lt;100, ROUND(Results!F14,-1), IF(Results!F14&lt;1000, ROUND(Results!F14,-2), ROUND(Results!F14,-3)))), "")))),"Awaiting user input...")</f>
        <v/>
      </c>
      <c r="J18" s="1" t="str">
        <f>IFERROR(IF(NOT($C18), "", IF(OR($C$16=0, $C$16=""), "", IF($C$16="Acres", IF(Results!G4&lt;10, ROUND(Results!G4,0), IF(Results!G4&lt;100, ROUND(Results!G4,-1), IF(Results!G4&lt;1000, ROUND(Results!G4,-2), ROUND(Results!G4,-3)))), IF($C$16="Square feet", IF(Results!G14&lt;10, ROUND(Results!G14,0), IF(Results!G14&lt;100, ROUND(Results!G14,-1), IF(Results!G14&lt;1000, ROUND(Results!G14,-2), ROUND(Results!G14,-3)))), "")))),"Awaiting user input...")</f>
        <v/>
      </c>
      <c r="K18" s="1" t="str">
        <f>IFERROR(IF(NOT($C18), "", IF(OR($C$16=0, $C$16=""), "", IF($C$16="Acres", IF(Results!H4&lt;10, ROUND(Results!H4,0), IF(Results!H4&lt;100, ROUND(Results!H4,-1), IF(Results!H4&lt;1000, ROUND(Results!H4,-2), ROUND(Results!H4,-3)))), IF($C$16="Square feet", IF(Results!H14&lt;10, ROUND(Results!H14,0), IF(Results!H14&lt;100, ROUND(Results!H14,-1), IF(Results!H14&lt;1000, ROUND(Results!H14,-2), ROUND(Results!H14,-3)))), "")))),"Awaiting user input...")</f>
        <v/>
      </c>
      <c r="L18" s="1" t="str">
        <f>IFERROR(IF(NOT($C18), "", IF(OR($C$16=0, $C$16=""), "", IF($C$16="Acres", IF(Results!I4&lt;10, ROUND(Results!I4,0), IF(Results!I4&lt;100, ROUND(Results!I4,-1), IF(Results!I4&lt;1000, ROUND(Results!I4,-2), ROUND(Results!I4,-3)))), IF($C$16="Square feet", IF(Results!I14&lt;10, ROUND(Results!I14,0), IF(Results!I14&lt;100, ROUND(Results!I14,-1), IF(Results!I14&lt;1000, ROUND(Results!I14,-2), ROUND(Results!I14,-3)))), "")))),"Awaiting user input...")</f>
        <v/>
      </c>
      <c r="M18" s="1" t="str">
        <f>IFERROR(IF(NOT($C18), "", IF(OR($C$16=0, $C$16=""), "", IF($C$16="Acres", IF(Results!J4&lt;10, ROUND(Results!J4,0), IF(Results!J4&lt;100, ROUND(Results!J4,-1), IF(Results!J4&lt;1000, ROUND(Results!J4,-2), ROUND(Results!J4,-3)))), IF($C$16="Square feet", IF(Results!J14&lt;10, ROUND(Results!J14,0), IF(Results!J14&lt;100, ROUND(Results!J14,-1), IF(Results!J14&lt;1000, ROUND(Results!J14,-2), ROUND(Results!J14,-3)))), "")))),"Awaiting user input...")</f>
        <v/>
      </c>
      <c r="N18" s="1" t="str">
        <f>IFERROR(IF(NOT($C18), "", IF(OR($C$16=0, $C$16=""), "", IF($C$16="Acres", IF(Results!K4&lt;10, ROUND(Results!K4,0), IF(Results!K4&lt;100, ROUND(Results!K4,-1), IF(Results!K4&lt;1000, ROUND(Results!K4,-2), ROUND(Results!K4,-3)))), IF($C$16="Square feet", IF(Results!K14&lt;10, ROUND(Results!K14,0), IF(Results!K14&lt;100, ROUND(Results!K14,-1), IF(Results!K14&lt;1000, ROUND(Results!K14,-2), ROUND(Results!K14,-3)))), "")))),"Awaiting user input...")</f>
        <v/>
      </c>
      <c r="O18" s="1" t="str">
        <f>IFERROR(IF(NOT($C18), "", IF(OR($C$16=0, $C$16=""), "", IF($C$16="Acres", IF(Results!L4&lt;10, ROUND(Results!L4,0), IF(Results!L4&lt;100, ROUND(Results!L4,-1), IF(Results!L4&lt;1000, ROUND(Results!L4,-2), ROUND(Results!L4,-3)))), IF($C$16="Square feet", IF(Results!L14&lt;10, ROUND(Results!L14,0), IF(Results!L14&lt;100, ROUND(Results!L14,-1), IF(Results!L14&lt;1000, ROUND(Results!L14,-2), ROUND(Results!L14,-3)))), "")))),"Choose county and land use...")</f>
        <v/>
      </c>
      <c r="P18" s="4" t="str">
        <f>IFERROR(IF(NOT($C18), "", IF(OR($C$16=0, $C$16=""), "", IF($C$16="Acres", Results!M4, IF($C$16="Square feet", Results!M14, "")))),"Awaiting user input...")</f>
        <v/>
      </c>
      <c r="Q18" s="1"/>
      <c r="R18" s="1"/>
    </row>
    <row r="19" spans="2:18" x14ac:dyDescent="0.35">
      <c r="B19" s="93" t="s">
        <v>28</v>
      </c>
      <c r="C19" s="95" t="b">
        <v>0</v>
      </c>
      <c r="E19" s="2" t="str">
        <f>IF(OR($C$16=0, $C$16="", NOT($C19)), "", IF($C$16="Acres", Results!B5, IF($C$16="Square feet", Results!B15, "")))</f>
        <v/>
      </c>
      <c r="F19" s="1" t="str">
        <f>IFERROR(IF(NOT($C19), "", IF(OR($C$16=0, $C$16=""), "", IF($C$16="Acres", IF(Results!C5&lt;10, ROUND(Results!C5,0), IF(Results!C5&lt;100, ROUND(Results!C5,-1), IF(Results!C5&lt;1000, ROUND(Results!C5,-2), ROUND(Results!C5,-3)))), IF($C$16="Square feet", IF(Results!C15&lt;10, ROUND(Results!C15,0), IF(Results!C15&lt;100, ROUND(Results!C15,-1), IF(Results!C15&lt;1000, ROUND(Results!C15,-2), ROUND(Results!C15,-3)))), "")))),"Choose a watershed...")</f>
        <v/>
      </c>
      <c r="G19" s="1" t="str">
        <f>IFERROR(IF(NOT($C19), "", IF(OR($C$16=0, $C$16=""), "", IF($C$16="Acres", IF(Results!D5&lt;10, ROUND(Results!D5,0), IF(Results!D5&lt;100, ROUND(Results!D5,-1), IF(Results!D5&lt;1000, ROUND(Results!D5,-2), ROUND(Results!D5,-3)))), IF($C$16="Square feet", IF(Results!D15&lt;10, ROUND(Results!D15,0), IF(Results!D15&lt;100, ROUND(Results!D15,-1), IF(Results!D15&lt;1000, ROUND(Results!D15,-2), ROUND(Results!D15,-3)))), "")))),"Awaiting user input...")</f>
        <v/>
      </c>
      <c r="H19" s="1" t="str">
        <f>IFERROR(IF(NOT($C19), "", IF(OR($C$16=0, $C$16=""), "", IF($C$16="Acres", IF(Results!E5&lt;10, ROUND(Results!E5,0), IF(Results!E5&lt;100, ROUND(Results!E5,-1), IF(Results!E5&lt;1000, ROUND(Results!E5,-2), ROUND(Results!E5,-3)))), IF($C$16="Square feet", IF(Results!E15&lt;10, ROUND(Results!E15,0), IF(Results!E15&lt;100, ROUND(Results!E15,-1), IF(Results!E15&lt;1000, ROUND(Results!E15,-2), ROUND(Results!E15,-3)))), "")))),"Awaiting user input...")</f>
        <v/>
      </c>
      <c r="I19" s="1" t="str">
        <f>IFERROR(IF(NOT($C19), "", IF(OR($C$16=0, $C$16=""), "", IF($C$16="Acres", IF(Results!F5&lt;10, ROUND(Results!F5,0), IF(Results!F5&lt;100, ROUND(Results!F5,-1), IF(Results!F5&lt;1000, ROUND(Results!F5,-2), ROUND(Results!F5,-3)))), IF($C$16="Square feet", IF(Results!F15&lt;10, ROUND(Results!F15,0), IF(Results!F15&lt;100, ROUND(Results!F15,-1), IF(Results!F15&lt;1000, ROUND(Results!F15,-2), ROUND(Results!F15,-3)))), "")))),"Awaiting user input...")</f>
        <v/>
      </c>
      <c r="J19" s="1" t="str">
        <f>IFERROR(IF(NOT($C19), "", IF(OR($C$16=0, $C$16=""), "", IF($C$16="Acres", IF(Results!G5&lt;10, ROUND(Results!G5,0), IF(Results!G5&lt;100, ROUND(Results!G5,-1), IF(Results!G5&lt;1000, ROUND(Results!G5,-2), ROUND(Results!G5,-3)))), IF($C$16="Square feet", IF(Results!G15&lt;10, ROUND(Results!G15,0), IF(Results!G15&lt;100, ROUND(Results!G15,-1), IF(Results!G15&lt;1000, ROUND(Results!G15,-2), ROUND(Results!G15,-3)))), "")))),"Awaiting user input...")</f>
        <v/>
      </c>
      <c r="K19" s="1" t="str">
        <f>IFERROR(IF(NOT($C19), "", IF(OR($C$16=0, $C$16=""), "", IF($C$16="Acres", IF(Results!H5&lt;10, ROUND(Results!H5,0), IF(Results!H5&lt;100, ROUND(Results!H5,-1), IF(Results!H5&lt;1000, ROUND(Results!H5,-2), ROUND(Results!H5,-3)))), IF($C$16="Square feet", IF(Results!H15&lt;10, ROUND(Results!H15,0), IF(Results!H15&lt;100, ROUND(Results!H15,-1), IF(Results!H15&lt;1000, ROUND(Results!H15,-2), ROUND(Results!H15,-3)))), "")))),"Awaiting user input...")</f>
        <v/>
      </c>
      <c r="L19" s="1" t="str">
        <f>IFERROR(IF(NOT($C19), "", IF(OR($C$16=0, $C$16=""), "", IF($C$16="Acres", IF(Results!I5&lt;10, ROUND(Results!I5,0), IF(Results!I5&lt;100, ROUND(Results!I5,-1), IF(Results!I5&lt;1000, ROUND(Results!I5,-2), ROUND(Results!I5,-3)))), IF($C$16="Square feet", IF(Results!I15&lt;10, ROUND(Results!I15,0), IF(Results!I15&lt;100, ROUND(Results!I15,-1), IF(Results!I15&lt;1000, ROUND(Results!I15,-2), ROUND(Results!I15,-3)))), "")))),"Awaiting user input...")</f>
        <v/>
      </c>
      <c r="M19" s="1" t="str">
        <f>IFERROR(IF(NOT($C19), "", IF(OR($C$16=0, $C$16=""), "", IF($C$16="Acres", IF(Results!J5&lt;10, ROUND(Results!J5,0), IF(Results!J5&lt;100, ROUND(Results!J5,-1), IF(Results!J5&lt;1000, ROUND(Results!J5,-2), ROUND(Results!J5,-3)))), IF($C$16="Square feet", IF(Results!J15&lt;10, ROUND(Results!J15,0), IF(Results!J15&lt;100, ROUND(Results!J15,-1), IF(Results!J15&lt;1000, ROUND(Results!J15,-2), ROUND(Results!J15,-3)))), "")))),"Awaiting user input...")</f>
        <v/>
      </c>
      <c r="N19" s="1" t="str">
        <f>IFERROR(IF(NOT($C19), "", IF(OR($C$16=0, $C$16=""), "", IF($C$16="Acres", IF(Results!K5&lt;10, ROUND(Results!K5,0), IF(Results!K5&lt;100, ROUND(Results!K5,-1), IF(Results!K5&lt;1000, ROUND(Results!K5,-2), ROUND(Results!K5,-3)))), IF($C$16="Square feet", IF(Results!K15&lt;10, ROUND(Results!K15,0), IF(Results!K15&lt;100, ROUND(Results!K15,-1), IF(Results!K15&lt;1000, ROUND(Results!K15,-2), ROUND(Results!K15,-3)))), "")))),"Awaiting user input...")</f>
        <v/>
      </c>
      <c r="O19" s="1" t="str">
        <f>IFERROR(IF(NOT($C19), "", IF(OR($C$16=0, $C$16=""), "", IF($C$16="Acres", IF(Results!L5&lt;10, ROUND(Results!L5,0), IF(Results!L5&lt;100, ROUND(Results!L5,-1), IF(Results!L5&lt;1000, ROUND(Results!L5,-2), ROUND(Results!L5,-3)))), IF($C$16="Square feet", IF(Results!L15&lt;10, ROUND(Results!L15,0), IF(Results!L15&lt;100, ROUND(Results!L15,-1), IF(Results!L15&lt;1000, ROUND(Results!L15,-2), ROUND(Results!L15,-3)))), "")))),"Choose county and land use...")</f>
        <v/>
      </c>
      <c r="P19" s="4" t="str">
        <f>IFERROR(IF(NOT($C19), "", IF(OR($C$16=0, $C$16=""), "", IF($C$16="Acres", Results!M5, IF($C$16="Square feet", Results!M15, "")))),"Awaiting user input...")</f>
        <v/>
      </c>
      <c r="Q19" s="1"/>
      <c r="R19" s="1"/>
    </row>
    <row r="20" spans="2:18" x14ac:dyDescent="0.35">
      <c r="B20" s="93" t="s">
        <v>29</v>
      </c>
      <c r="C20" s="95" t="b">
        <v>0</v>
      </c>
      <c r="E20" s="2" t="str">
        <f>IF(OR($C$16=0, $C$16="", NOT($C20)), "", IF($C$16="Acres", Results!B6, IF($C$16="Square feet", Results!B16, "")))</f>
        <v/>
      </c>
      <c r="F20" s="1" t="str">
        <f>IFERROR(IF(NOT($C20), "", IF(OR($C$16=0, $C$16=""), "", IF($C$16="Acres", IF(Results!C6&lt;10, ROUND(Results!C6,0), IF(Results!C6&lt;100, ROUND(Results!C6,-1), IF(Results!C6&lt;1000, ROUND(Results!C6,-2), ROUND(Results!C6,-3)))), IF($C$16="Square feet", IF(Results!C16&lt;10, ROUND(Results!C16,0), IF(Results!C16&lt;100, ROUND(Results!C16,-1), IF(Results!C16&lt;1000, ROUND(Results!C16,-2), ROUND(Results!C16,-3)))), "")))),"Choose a watershed...")</f>
        <v/>
      </c>
      <c r="G20" s="1" t="str">
        <f>IFERROR(IF(NOT($C20), "", IF(OR($C$16=0, $C$16=""), "", IF($C$16="Acres", IF(Results!D6&lt;10, ROUND(Results!D6,0), IF(Results!D6&lt;100, ROUND(Results!D6,-1), IF(Results!D6&lt;1000, ROUND(Results!D6,-2), ROUND(Results!D6,-3)))), IF($C$16="Square feet", IF(Results!D16&lt;10, ROUND(Results!D16,0), IF(Results!D16&lt;100, ROUND(Results!D16,-1), IF(Results!D16&lt;1000, ROUND(Results!D16,-2), ROUND(Results!D16,-3)))), "")))),"Awaiting user input...")</f>
        <v/>
      </c>
      <c r="H20" s="1" t="str">
        <f>IFERROR(IF(NOT($C20), "", IF(OR($C$16=0, $C$16=""), "", IF($C$16="Acres", IF(Results!E6&lt;10, ROUND(Results!E6,0), IF(Results!E6&lt;100, ROUND(Results!E6,-1), IF(Results!E6&lt;1000, ROUND(Results!E6,-2), ROUND(Results!E6,-3)))), IF($C$16="Square feet", IF(Results!E16&lt;10, ROUND(Results!E16,0), IF(Results!E16&lt;100, ROUND(Results!E16,-1), IF(Results!E16&lt;1000, ROUND(Results!E16,-2), ROUND(Results!E16,-3)))), "")))),"Awaiting user input...")</f>
        <v/>
      </c>
      <c r="I20" s="1" t="str">
        <f>IFERROR(IF(NOT($C20), "", IF(OR($C$16=0, $C$16=""), "", IF($C$16="Acres", IF(Results!F6&lt;10, ROUND(Results!F6,0), IF(Results!F6&lt;100, ROUND(Results!F6,-1), IF(Results!F6&lt;1000, ROUND(Results!F6,-2), ROUND(Results!F6,-3)))), IF($C$16="Square feet", IF(Results!F16&lt;10, ROUND(Results!F16,0), IF(Results!F16&lt;100, ROUND(Results!F16,-1), IF(Results!F16&lt;1000, ROUND(Results!F16,-2), ROUND(Results!F16,-3)))), "")))),"Awaiting user input...")</f>
        <v/>
      </c>
      <c r="J20" s="1" t="str">
        <f>IFERROR(IF(NOT($C20), "", IF(OR($C$16=0, $C$16=""), "", IF($C$16="Acres", IF(Results!G6&lt;10, ROUND(Results!G6,0), IF(Results!G6&lt;100, ROUND(Results!G6,-1), IF(Results!G6&lt;1000, ROUND(Results!G6,-2), ROUND(Results!G6,-3)))), IF($C$16="Square feet", IF(Results!G16&lt;10, ROUND(Results!G16,0), IF(Results!G16&lt;100, ROUND(Results!G16,-1), IF(Results!G16&lt;1000, ROUND(Results!G16,-2), ROUND(Results!G16,-3)))), "")))),"Awaiting user input...")</f>
        <v/>
      </c>
      <c r="K20" s="1" t="str">
        <f>IFERROR(IF(NOT($C20), "", IF(OR($C$16=0, $C$16=""), "", IF($C$16="Acres", IF(Results!H6&lt;10, ROUND(Results!H6,0), IF(Results!H6&lt;100, ROUND(Results!H6,-1), IF(Results!H6&lt;1000, ROUND(Results!H6,-2), ROUND(Results!H6,-3)))), IF($C$16="Square feet", IF(Results!H16&lt;10, ROUND(Results!H16,0), IF(Results!H16&lt;100, ROUND(Results!H16,-1), IF(Results!H16&lt;1000, ROUND(Results!H16,-2), ROUND(Results!H16,-3)))), "")))),"Awaiting user input...")</f>
        <v/>
      </c>
      <c r="L20" s="1" t="str">
        <f>IFERROR(IF(NOT($C20), "", IF(OR($C$16=0, $C$16=""), "", IF($C$16="Acres", IF(Results!I6&lt;10, ROUND(Results!I6,0), IF(Results!I6&lt;100, ROUND(Results!I6,-1), IF(Results!I6&lt;1000, ROUND(Results!I6,-2), ROUND(Results!I6,-3)))), IF($C$16="Square feet", IF(Results!I16&lt;10, ROUND(Results!I16,0), IF(Results!I16&lt;100, ROUND(Results!I16,-1), IF(Results!I16&lt;1000, ROUND(Results!I16,-2), ROUND(Results!I16,-3)))), "")))),"Awaiting user input...")</f>
        <v/>
      </c>
      <c r="M20" s="1" t="str">
        <f>IFERROR(IF(NOT($C20), "", IF(OR($C$16=0, $C$16=""), "", IF($C$16="Acres", IF(Results!J6&lt;10, ROUND(Results!J6,0), IF(Results!J6&lt;100, ROUND(Results!J6,-1), IF(Results!J6&lt;1000, ROUND(Results!J6,-2), ROUND(Results!J6,-3)))), IF($C$16="Square feet", IF(Results!J16&lt;10, ROUND(Results!J16,0), IF(Results!J16&lt;100, ROUND(Results!J16,-1), IF(Results!J16&lt;1000, ROUND(Results!J16,-2), ROUND(Results!J16,-3)))), "")))),"Awaiting user input...")</f>
        <v/>
      </c>
      <c r="N20" s="1" t="str">
        <f>IFERROR(IF(NOT($C20), "", IF(OR($C$16=0, $C$16=""), "", IF($C$16="Acres", IF(Results!K6&lt;10, ROUND(Results!K6,0), IF(Results!K6&lt;100, ROUND(Results!K6,-1), IF(Results!K6&lt;1000, ROUND(Results!K6,-2), ROUND(Results!K6,-3)))), IF($C$16="Square feet", IF(Results!K16&lt;10, ROUND(Results!K16,0), IF(Results!K16&lt;100, ROUND(Results!K16,-1), IF(Results!K16&lt;1000, ROUND(Results!K16,-2), ROUND(Results!K16,-3)))), "")))),"Awaiting user input...")</f>
        <v/>
      </c>
      <c r="O20" s="1" t="str">
        <f>IFERROR(IF(NOT($C20), "", IF(OR($C$16=0, $C$16=""), "", IF($C$16="Acres", IF(Results!L6&lt;10, ROUND(Results!L6,0), IF(Results!L6&lt;100, ROUND(Results!L6,-1), IF(Results!L6&lt;1000, ROUND(Results!L6,-2), ROUND(Results!L6,-3)))), IF($C$16="Square feet", IF(Results!L16&lt;10, ROUND(Results!L16,0), IF(Results!L16&lt;100, ROUND(Results!L16,-1), IF(Results!L16&lt;1000, ROUND(Results!L16,-2), ROUND(Results!L16,-3)))), "")))),"Choose county and land use...")</f>
        <v/>
      </c>
      <c r="P20" s="4" t="str">
        <f>IFERROR(IF(NOT($C20), "", IF(OR($C$16=0, $C$16=""), "", IF($C$16="Acres", Results!M6, IF($C$16="Square feet", Results!M16, "")))),"Awaiting user input...")</f>
        <v/>
      </c>
      <c r="Q20" s="1"/>
      <c r="R20" s="1"/>
    </row>
    <row r="21" spans="2:18" x14ac:dyDescent="0.35">
      <c r="B21" s="93" t="s">
        <v>30</v>
      </c>
      <c r="C21" s="95" t="b">
        <v>0</v>
      </c>
      <c r="E21" s="2" t="str">
        <f>IF(OR($C$16=0, $C$16="", NOT($C21)), "", IF($C$16="Acres", Results!B7, IF($C$16="Square feet", Results!B17, "")))</f>
        <v/>
      </c>
      <c r="F21" s="1" t="str">
        <f>IFERROR(IF(NOT($C21), "", IF(OR($C$16=0, $C$16=""), "", IF($C$16="Acres", IF(Results!C7&lt;10, ROUND(Results!C7,0), IF(Results!C7&lt;100, ROUND(Results!C7,-1), IF(Results!C7&lt;1000, ROUND(Results!C7,-2), ROUND(Results!C7,-3)))), IF($C$16="Square feet", IF(Results!C17&lt;10, ROUND(Results!C17,0), IF(Results!C17&lt;100, ROUND(Results!C17,-1), IF(Results!C17&lt;1000, ROUND(Results!C17,-2), ROUND(Results!C17,-3)))), "")))),"Choose a watershed...")</f>
        <v/>
      </c>
      <c r="G21" s="1" t="str">
        <f>IFERROR(IF(NOT($C21), "", IF(OR($C$16=0, $C$16=""), "", IF($C$16="Acres", IF(Results!D7&lt;10, ROUND(Results!D7,0), IF(Results!D7&lt;100, ROUND(Results!D7,-1), IF(Results!D7&lt;1000, ROUND(Results!D7,-2), ROUND(Results!D7,-3)))), IF($C$16="Square feet", IF(Results!D17&lt;10, ROUND(Results!D17,0), IF(Results!D17&lt;100, ROUND(Results!D17,-1), IF(Results!D17&lt;1000, ROUND(Results!D17,-2), ROUND(Results!D17,-3)))), "")))),"Awaiting user input...")</f>
        <v/>
      </c>
      <c r="H21" s="1" t="str">
        <f>IFERROR(IF(NOT($C21), "", IF(OR($C$16=0, $C$16=""), "", IF($C$16="Acres", IF(Results!E7&lt;10, ROUND(Results!E7,0), IF(Results!E7&lt;100, ROUND(Results!E7,-1), IF(Results!E7&lt;1000, ROUND(Results!E7,-2), ROUND(Results!E7,-3)))), IF($C$16="Square feet", IF(Results!E17&lt;10, ROUND(Results!E17,0), IF(Results!E17&lt;100, ROUND(Results!E17,-1), IF(Results!E17&lt;1000, ROUND(Results!E17,-2), ROUND(Results!E17,-3)))), "")))),"Awaiting user input...")</f>
        <v/>
      </c>
      <c r="I21" s="1" t="str">
        <f>IFERROR(IF(NOT($C21), "", IF(OR($C$16=0, $C$16=""), "", IF($C$16="Acres", IF(Results!F7&lt;10, ROUND(Results!F7,0), IF(Results!F7&lt;100, ROUND(Results!F7,-1), IF(Results!F7&lt;1000, ROUND(Results!F7,-2), ROUND(Results!F7,-3)))), IF($C$16="Square feet", IF(Results!F17&lt;10, ROUND(Results!F17,0), IF(Results!F17&lt;100, ROUND(Results!F17,-1), IF(Results!F17&lt;1000, ROUND(Results!F17,-2), ROUND(Results!F17,-3)))), "")))),"Awaiting user input...")</f>
        <v/>
      </c>
      <c r="J21" s="1" t="str">
        <f>IFERROR(IF(NOT($C21), "", IF(OR($C$16=0, $C$16=""), "", IF($C$16="Acres", IF(Results!G7&lt;10, ROUND(Results!G7,0), IF(Results!G7&lt;100, ROUND(Results!G7,-1), IF(Results!G7&lt;1000, ROUND(Results!G7,-2), ROUND(Results!G7,-3)))), IF($C$16="Square feet", IF(Results!G17&lt;10, ROUND(Results!G17,0), IF(Results!G17&lt;100, ROUND(Results!G17,-1), IF(Results!G17&lt;1000, ROUND(Results!G17,-2), ROUND(Results!G17,-3)))), "")))),"Awaiting user input...")</f>
        <v/>
      </c>
      <c r="K21" s="1" t="str">
        <f>IFERROR(IF(NOT($C21), "", IF(OR($C$16=0, $C$16=""), "", IF($C$16="Acres", IF(Results!H7&lt;10, ROUND(Results!H7,0), IF(Results!H7&lt;100, ROUND(Results!H7,-1), IF(Results!H7&lt;1000, ROUND(Results!H7,-2), ROUND(Results!H7,-3)))), IF($C$16="Square feet", IF(Results!H17&lt;10, ROUND(Results!H17,0), IF(Results!H17&lt;100, ROUND(Results!H17,-1), IF(Results!H17&lt;1000, ROUND(Results!H17,-2), ROUND(Results!H17,-3)))), "")))),"Awaiting user input...")</f>
        <v/>
      </c>
      <c r="L21" s="1" t="str">
        <f>IFERROR(IF(NOT($C21), "", IF(OR($C$16=0, $C$16=""), "", IF($C$16="Acres", IF(Results!I7&lt;10, ROUND(Results!I7,0), IF(Results!I7&lt;100, ROUND(Results!I7,-1), IF(Results!I7&lt;1000, ROUND(Results!I7,-2), ROUND(Results!I7,-3)))), IF($C$16="Square feet", IF(Results!I17&lt;10, ROUND(Results!I17,0), IF(Results!I17&lt;100, ROUND(Results!I17,-1), IF(Results!I17&lt;1000, ROUND(Results!I17,-2), ROUND(Results!I17,-3)))), "")))),"Awaiting user input...")</f>
        <v/>
      </c>
      <c r="M21" s="1" t="str">
        <f>IFERROR(IF(NOT($C21), "", IF(OR($C$16=0, $C$16=""), "", IF($C$16="Acres", IF(Results!J7&lt;10, ROUND(Results!J7,0), IF(Results!J7&lt;100, ROUND(Results!J7,-1), IF(Results!J7&lt;1000, ROUND(Results!J7,-2), ROUND(Results!J7,-3)))), IF($C$16="Square feet", IF(Results!J17&lt;10, ROUND(Results!J17,0), IF(Results!J17&lt;100, ROUND(Results!J17,-1), IF(Results!J17&lt;1000, ROUND(Results!J17,-2), ROUND(Results!J17,-3)))), "")))),"Awaiting user input...")</f>
        <v/>
      </c>
      <c r="N21" s="1" t="str">
        <f>IFERROR(IF(NOT($C21), "", IF(OR($C$16=0, $C$16=""), "", IF($C$16="Acres", IF(Results!K7&lt;10, ROUND(Results!K7,0), IF(Results!K7&lt;100, ROUND(Results!K7,-1), IF(Results!K7&lt;1000, ROUND(Results!K7,-2), ROUND(Results!K7,-3)))), IF($C$16="Square feet", IF(Results!K17&lt;10, ROUND(Results!K17,0), IF(Results!K17&lt;100, ROUND(Results!K17,-1), IF(Results!K17&lt;1000, ROUND(Results!K17,-2), ROUND(Results!K17,-3)))), "")))),"Awaiting user input...")</f>
        <v/>
      </c>
      <c r="O21" s="1" t="str">
        <f>IFERROR(IF(NOT($C21), "", IF(OR($C$16=0, $C$16=""), "", IF($C$16="Acres", IF(Results!L7&lt;10, ROUND(Results!L7,0), IF(Results!L7&lt;100, ROUND(Results!L7,-1), IF(Results!L7&lt;1000, ROUND(Results!L7,-2), ROUND(Results!L7,-3)))), IF($C$16="Square feet", IF(Results!L17&lt;10, ROUND(Results!L17,0), IF(Results!L17&lt;100, ROUND(Results!L17,-1), IF(Results!L17&lt;1000, ROUND(Results!L17,-2), ROUND(Results!L17,-3)))), "")))),"Choose county and land use...")</f>
        <v/>
      </c>
      <c r="P21" s="4" t="str">
        <f>IFERROR(IF(NOT($C21), "", IF(OR($C$16=0, $C$16=""), "", IF($C$16="Acres", Results!M7, IF($C$16="Square feet", Results!M17, "")))),"Awaiting user input...")</f>
        <v/>
      </c>
      <c r="Q21" s="1"/>
      <c r="R21" s="1"/>
    </row>
    <row r="22" spans="2:18" x14ac:dyDescent="0.35">
      <c r="B22" s="93" t="s">
        <v>31</v>
      </c>
      <c r="C22" s="95" t="b">
        <v>0</v>
      </c>
      <c r="E22" s="2" t="str">
        <f>IF(OR($C$16=0, $C$16="", NOT($C22)), "", IF($C$16="Acres", Results!B8, IF($C$16="Square feet", Results!B18, "")))</f>
        <v/>
      </c>
      <c r="F22" s="1" t="str">
        <f>IFERROR(IF(NOT($C22), "", IF(OR($C$16=0, $C$16=""), "", IF($C$16="Acres", IF(Results!C8&lt;10, ROUND(Results!C8,0), IF(Results!C8&lt;100, ROUND(Results!C8,-1), IF(Results!C8&lt;1000, ROUND(Results!C8,-2), ROUND(Results!C8,-3)))), IF($C$16="Square feet", IF(Results!C18&lt;10, ROUND(Results!C18,0), IF(Results!C18&lt;100, ROUND(Results!C18,-1), IF(Results!C18&lt;1000, ROUND(Results!C18,-2), ROUND(Results!C18,-3)))), "")))),"Choose a watershed...")</f>
        <v/>
      </c>
      <c r="G22" s="1" t="str">
        <f>IFERROR(IF(NOT($C22), "", IF(OR($C$16=0, $C$16=""), "", IF($C$16="Acres", IF(Results!D8&lt;10, ROUND(Results!D8,0), IF(Results!D8&lt;100, ROUND(Results!D8,-1), IF(Results!D8&lt;1000, ROUND(Results!D8,-2), ROUND(Results!D8,-3)))), IF($C$16="Square feet", IF(Results!D18&lt;10, ROUND(Results!D18,0), IF(Results!D18&lt;100, ROUND(Results!D18,-1), IF(Results!D18&lt;1000, ROUND(Results!D18,-2), ROUND(Results!D18,-3)))), "")))),"Awaiting user input...")</f>
        <v/>
      </c>
      <c r="H22" s="1" t="str">
        <f>IFERROR(IF(NOT($C22), "", IF(OR($C$16=0, $C$16=""), "", IF($C$16="Acres", IF(Results!E8&lt;10, ROUND(Results!E8,0), IF(Results!E8&lt;100, ROUND(Results!E8,-1), IF(Results!E8&lt;1000, ROUND(Results!E8,-2), ROUND(Results!E8,-3)))), IF($C$16="Square feet", IF(Results!E18&lt;10, ROUND(Results!E18,0), IF(Results!E18&lt;100, ROUND(Results!E18,-1), IF(Results!E18&lt;1000, ROUND(Results!E18,-2), ROUND(Results!E18,-3)))), "")))),"Awaiting user input...")</f>
        <v/>
      </c>
      <c r="I22" s="1" t="str">
        <f>IFERROR(IF(NOT($C22), "", IF(OR($C$16=0, $C$16=""), "", IF($C$16="Acres", IF(Results!F8&lt;10, ROUND(Results!F8,0), IF(Results!F8&lt;100, ROUND(Results!F8,-1), IF(Results!F8&lt;1000, ROUND(Results!F8,-2), ROUND(Results!F8,-3)))), IF($C$16="Square feet", IF(Results!F18&lt;10, ROUND(Results!F18,0), IF(Results!F18&lt;100, ROUND(Results!F18,-1), IF(Results!F18&lt;1000, ROUND(Results!F18,-2), ROUND(Results!F18,-3)))), "")))),"Awaiting user input...")</f>
        <v/>
      </c>
      <c r="J22" s="1" t="str">
        <f>IFERROR(IF(NOT($C22), "", IF(OR($C$16=0, $C$16=""), "", IF($C$16="Acres", IF(Results!G8&lt;10, ROUND(Results!G8,0), IF(Results!G8&lt;100, ROUND(Results!G8,-1), IF(Results!G8&lt;1000, ROUND(Results!G8,-2), ROUND(Results!G8,-3)))), IF($C$16="Square feet", IF(Results!G18&lt;10, ROUND(Results!G18,0), IF(Results!G18&lt;100, ROUND(Results!G18,-1), IF(Results!G18&lt;1000, ROUND(Results!G18,-2), ROUND(Results!G18,-3)))), "")))),"Awaiting user input...")</f>
        <v/>
      </c>
      <c r="K22" s="1" t="str">
        <f>IFERROR(IF(NOT($C22), "", IF(OR($C$16=0, $C$16=""), "", IF($C$16="Acres", IF(Results!H8&lt;10, ROUND(Results!H8,0), IF(Results!H8&lt;100, ROUND(Results!H8,-1), IF(Results!H8&lt;1000, ROUND(Results!H8,-2), ROUND(Results!H8,-3)))), IF($C$16="Square feet", IF(Results!H18&lt;10, ROUND(Results!H18,0), IF(Results!H18&lt;100, ROUND(Results!H18,-1), IF(Results!H18&lt;1000, ROUND(Results!H18,-2), ROUND(Results!H18,-3)))), "")))),"Awaiting user input...")</f>
        <v/>
      </c>
      <c r="L22" s="1" t="str">
        <f>IFERROR(IF(NOT($C22), "", IF(OR($C$16=0, $C$16=""), "", IF($C$16="Acres", IF(Results!I8&lt;10, ROUND(Results!I8,0), IF(Results!I8&lt;100, ROUND(Results!I8,-1), IF(Results!I8&lt;1000, ROUND(Results!I8,-2), ROUND(Results!I8,-3)))), IF($C$16="Square feet", IF(Results!I18&lt;10, ROUND(Results!I18,0), IF(Results!I18&lt;100, ROUND(Results!I18,-1), IF(Results!I18&lt;1000, ROUND(Results!I18,-2), ROUND(Results!I18,-3)))), "")))),"Awaiting user input...")</f>
        <v/>
      </c>
      <c r="M22" s="1" t="str">
        <f>IFERROR(IF(NOT($C22), "", IF(OR($C$16=0, $C$16=""), "", IF($C$16="Acres", IF(Results!J8&lt;10, ROUND(Results!J8,0), IF(Results!J8&lt;100, ROUND(Results!J8,-1), IF(Results!J8&lt;1000, ROUND(Results!J8,-2), ROUND(Results!J8,-3)))), IF($C$16="Square feet", IF(Results!J18&lt;10, ROUND(Results!J18,0), IF(Results!J18&lt;100, ROUND(Results!J18,-1), IF(Results!J18&lt;1000, ROUND(Results!J18,-2), ROUND(Results!J18,-3)))), "")))),"Awaiting user input...")</f>
        <v/>
      </c>
      <c r="N22" s="1" t="str">
        <f>IFERROR(IF(NOT($C22), "", IF(OR($C$16=0, $C$16=""), "", IF($C$16="Acres", IF(Results!K8&lt;10, ROUND(Results!K8,0), IF(Results!K8&lt;100, ROUND(Results!K8,-1), IF(Results!K8&lt;1000, ROUND(Results!K8,-2), ROUND(Results!K8,-3)))), IF($C$16="Square feet", IF(Results!K18&lt;10, ROUND(Results!K18,0), IF(Results!K18&lt;100, ROUND(Results!K18,-1), IF(Results!K18&lt;1000, ROUND(Results!K18,-2), ROUND(Results!K18,-3)))), "")))),"Awaiting user input...")</f>
        <v/>
      </c>
      <c r="O22" s="1" t="str">
        <f>IFERROR(IF(NOT($C22), "", IF(OR($C$16=0, $C$16=""), "", IF($C$16="Acres", IF(Results!L8&lt;10, ROUND(Results!L8,0), IF(Results!L8&lt;100, ROUND(Results!L8,-1), IF(Results!L8&lt;1000, ROUND(Results!L8,-2), ROUND(Results!L8,-3)))), IF($C$16="Square feet", IF(Results!L18&lt;10, ROUND(Results!L18,0), IF(Results!L18&lt;100, ROUND(Results!L18,-1), IF(Results!L18&lt;1000, ROUND(Results!L18,-2), ROUND(Results!L18,-3)))), "")))),"Choose county and land use...")</f>
        <v/>
      </c>
      <c r="P22" s="8" t="str">
        <f>IFERROR(IF(NOT($C22), "", IF(OR($C$16=0, $C$16=""), "", IF($C$16="Acres", Results!M8, IF($C$16="Square feet", Results!M18, "")))),"Awaiting user input...")</f>
        <v/>
      </c>
      <c r="Q22" s="1"/>
      <c r="R22" s="1"/>
    </row>
    <row r="23" spans="2:18" x14ac:dyDescent="0.35">
      <c r="B23" s="93" t="s">
        <v>32</v>
      </c>
      <c r="C23" s="95" t="b">
        <v>0</v>
      </c>
      <c r="E23" s="2" t="str">
        <f>IF(OR($C$16=0, $C$16="", NOT($C23)), "", IF($C$16="Acres", Results!B9, IF($C$16="Square feet", Results!B19, "")))</f>
        <v/>
      </c>
      <c r="F23" s="1" t="str">
        <f>IFERROR(IF(NOT($C23), "", IF(OR($C$16=0, $C$16=""), "", IF($C$16="Acres", IF(Results!C9&lt;10, ROUND(Results!C9,0), IF(Results!C9&lt;100, ROUND(Results!C9,-1), IF(Results!C9&lt;1000, ROUND(Results!C9,-2), ROUND(Results!C9,-3)))), IF($C$16="Square feet", IF(Results!C19&lt;10, ROUND(Results!C19,0), IF(Results!C19&lt;100, ROUND(Results!C19,-1), IF(Results!C19&lt;1000, ROUND(Results!C19,-2), ROUND(Results!C19,-3)))), "")))),"Choose a watershed...")</f>
        <v/>
      </c>
      <c r="G23" s="1" t="str">
        <f>IFERROR(IF(NOT($C23), "", IF(OR($C$16=0, $C$16=""), "", IF($C$16="Acres", IF(Results!D9&lt;10, ROUND(Results!D9,0), IF(Results!D9&lt;100, ROUND(Results!D9,-1), IF(Results!D9&lt;1000, ROUND(Results!D9,-2), ROUND(Results!D9,-3)))), IF($C$16="Square feet", IF(Results!D19&lt;10, ROUND(Results!D19,0), IF(Results!D19&lt;100, ROUND(Results!D19,-1), IF(Results!D19&lt;1000, ROUND(Results!D19,-2), ROUND(Results!D19,-3)))), "")))),"Awaiting user input...")</f>
        <v/>
      </c>
      <c r="H23" s="1" t="str">
        <f>IFERROR(IF(NOT($C23), "", IF(OR($C$16=0, $C$16=""), "", IF($C$16="Acres", IF(Results!E9&lt;10, ROUND(Results!E9,0), IF(Results!E9&lt;100, ROUND(Results!E9,-1), IF(Results!E9&lt;1000, ROUND(Results!E9,-2), ROUND(Results!E9,-3)))), IF($C$16="Square feet", IF(Results!E19&lt;10, ROUND(Results!E19,0), IF(Results!E19&lt;100, ROUND(Results!E19,-1), IF(Results!E19&lt;1000, ROUND(Results!E19,-2), ROUND(Results!E19,-3)))), "")))),"Awaiting user input...")</f>
        <v/>
      </c>
      <c r="I23" s="1" t="str">
        <f>IFERROR(IF(NOT($C23), "", IF(OR($C$16=0, $C$16=""), "", IF($C$16="Acres", IF(Results!F9&lt;10, ROUND(Results!F9,0), IF(Results!F9&lt;100, ROUND(Results!F9,-1), IF(Results!F9&lt;1000, ROUND(Results!F9,-2), ROUND(Results!F9,-3)))), IF($C$16="Square feet", IF(Results!F19&lt;10, ROUND(Results!F19,0), IF(Results!F19&lt;100, ROUND(Results!F19,-1), IF(Results!F19&lt;1000, ROUND(Results!F19,-2), ROUND(Results!F19,-3)))), "")))),"Awaiting user input...")</f>
        <v/>
      </c>
      <c r="J23" s="1" t="str">
        <f>IFERROR(IF(NOT($C23), "", IF(OR($C$16=0, $C$16=""), "", IF($C$16="Acres", IF(Results!G9&lt;10, ROUND(Results!G9,0), IF(Results!G9&lt;100, ROUND(Results!G9,-1), IF(Results!G9&lt;1000, ROUND(Results!G9,-2), ROUND(Results!G9,-3)))), IF($C$16="Square feet", IF(Results!G19&lt;10, ROUND(Results!G19,0), IF(Results!G19&lt;100, ROUND(Results!G19,-1), IF(Results!G19&lt;1000, ROUND(Results!G19,-2), ROUND(Results!G19,-3)))), "")))),"Awaiting user input...")</f>
        <v/>
      </c>
      <c r="K23" s="1" t="str">
        <f>IFERROR(IF(NOT($C23), "", IF(OR($C$16=0, $C$16=""), "", IF($C$16="Acres", IF(Results!H9&lt;10, ROUND(Results!H9,0), IF(Results!H9&lt;100, ROUND(Results!H9,-1), IF(Results!H9&lt;1000, ROUND(Results!H9,-2), ROUND(Results!H9,-3)))), IF($C$16="Square feet", IF(Results!H19&lt;10, ROUND(Results!H19,0), IF(Results!H19&lt;100, ROUND(Results!H19,-1), IF(Results!H19&lt;1000, ROUND(Results!H19,-2), ROUND(Results!H19,-3)))), "")))),"Awaiting user input...")</f>
        <v/>
      </c>
      <c r="L23" s="1" t="str">
        <f>IFERROR(IF(NOT($C23), "", IF(OR($C$16=0, $C$16=""), "", IF($C$16="Acres", IF(Results!I9&lt;10, ROUND(Results!I9,0), IF(Results!I9&lt;100, ROUND(Results!I9,-1), IF(Results!I9&lt;1000, ROUND(Results!I9,-2), ROUND(Results!I9,-3)))), IF($C$16="Square feet", IF(Results!I19&lt;10, ROUND(Results!I19,0), IF(Results!I19&lt;100, ROUND(Results!I19,-1), IF(Results!I19&lt;1000, ROUND(Results!I19,-2), ROUND(Results!I19,-3)))), "")))),"Awaiting user input...")</f>
        <v/>
      </c>
      <c r="M23" s="1" t="str">
        <f>IFERROR(IF(NOT($C23), "", IF(OR($C$16=0, $C$16=""), "", IF($C$16="Acres", IF(Results!J9&lt;10, ROUND(Results!J9,0), IF(Results!J9&lt;100, ROUND(Results!J9,-1), IF(Results!J9&lt;1000, ROUND(Results!J9,-2), ROUND(Results!J9,-3)))), IF($C$16="Square feet", IF(Results!J19&lt;10, ROUND(Results!J19,0), IF(Results!J19&lt;100, ROUND(Results!J19,-1), IF(Results!J19&lt;1000, ROUND(Results!J19,-2), ROUND(Results!J19,-3)))), "")))),"Awaiting user input...")</f>
        <v/>
      </c>
      <c r="N23" s="1" t="str">
        <f>IFERROR(IF(NOT($C23), "", IF(OR($C$16=0, $C$16=""), "", IF($C$16="Acres", IF(Results!K9&lt;10, ROUND(Results!K9,0), IF(Results!K9&lt;100, ROUND(Results!K9,-1), IF(Results!K9&lt;1000, ROUND(Results!K9,-2), ROUND(Results!K9,-3)))), IF($C$16="Square feet", IF(Results!K19&lt;10, ROUND(Results!K19,0), IF(Results!K19&lt;100, ROUND(Results!K19,-1), IF(Results!K19&lt;1000, ROUND(Results!K19,-2), ROUND(Results!K19,-3)))), "")))),"Awaiting user input...")</f>
        <v/>
      </c>
      <c r="O23" s="1" t="str">
        <f>IFERROR(IF(NOT($C23), "", IF(OR($C$16=0, $C$16=""), "", IF($C$16="Acres", IF(Results!L9&lt;10, ROUND(Results!L9,0), IF(Results!L9&lt;100, ROUND(Results!L9,-1), IF(Results!L9&lt;1000, ROUND(Results!L9,-2), ROUND(Results!L9,-3)))), IF($C$16="Square feet", IF(Results!L19&lt;10, ROUND(Results!L19,0), IF(Results!L19&lt;100, ROUND(Results!L19,-1), IF(Results!L19&lt;1000, ROUND(Results!L19,-2), ROUND(Results!L19,-3)))), "")))),"Choose county and land use...")</f>
        <v/>
      </c>
      <c r="P23" s="8" t="str">
        <f>IFERROR(IF(NOT($C23), "", IF(OR($C$16=0, $C$16=""), "", IF($C$16="Acres", Results!M9, IF($C$16="Square feet", Results!M19, "")))),"Awaiting user input...")</f>
        <v/>
      </c>
      <c r="Q23" s="1"/>
      <c r="R23" s="1"/>
    </row>
    <row r="24" spans="2:18" x14ac:dyDescent="0.35">
      <c r="B24" s="93" t="s">
        <v>33</v>
      </c>
      <c r="C24" s="95" t="b">
        <v>0</v>
      </c>
      <c r="E24" s="2" t="str">
        <f>IF(OR($C$16=0, $C$16="", NOT($C24)), "", IF($C$16="Acres", Results!B10, IF($C$16="Square feet", Results!B20, "")))</f>
        <v/>
      </c>
      <c r="F24" s="1" t="str">
        <f>IFERROR(IF(NOT($C24), "", IF(OR($C$16=0, $C$16=""), "", IF($C$16="Acres", IF(Results!C10&lt;10, ROUND(Results!C10,0), IF(Results!C10&lt;100, ROUND(Results!C10,-1), IF(Results!C10&lt;1000, ROUND(Results!C10,-2), ROUND(Results!C10,-3)))), IF($C$16="Square feet", IF(Results!C20&lt;10, ROUND(Results!C20,0), IF(Results!C20&lt;100, ROUND(Results!C20,-1), IF(Results!C20&lt;1000, ROUND(Results!C20,-2), ROUND(Results!C20,-3)))), "")))),"Choose a watershed...")</f>
        <v/>
      </c>
      <c r="G24" s="1" t="str">
        <f>IFERROR(IF(NOT($C24), "", IF(OR($C$16=0, $C$16=""), "", IF($C$16="Acres", IF(Results!D10&lt;10, ROUND(Results!D10,0), IF(Results!D10&lt;100, ROUND(Results!D10,-1), IF(Results!D10&lt;1000, ROUND(Results!D10,-2), ROUND(Results!D10,-3)))), IF($C$16="Square feet", IF(Results!D20&lt;10, ROUND(Results!D20,0), IF(Results!D20&lt;100, ROUND(Results!D20,-1), IF(Results!D20&lt;1000, ROUND(Results!D20,-2), ROUND(Results!D20,-3)))), "")))),"Awaiting user input...")</f>
        <v/>
      </c>
      <c r="H24" s="1" t="str">
        <f>IFERROR(IF(NOT($C24), "", IF(OR($C$16=0, $C$16=""), "", IF($C$16="Acres", IF(Results!E10&lt;10, ROUND(Results!E10,0), IF(Results!E10&lt;100, ROUND(Results!E10,-1), IF(Results!E10&lt;1000, ROUND(Results!E10,-2), ROUND(Results!E10,-3)))), IF($C$16="Square feet", IF(Results!E20&lt;10, ROUND(Results!E20,0), IF(Results!E20&lt;100, ROUND(Results!E20,-1), IF(Results!E20&lt;1000, ROUND(Results!E20,-2), ROUND(Results!E20,-3)))), "")))),"Awaiting user input...")</f>
        <v/>
      </c>
      <c r="I24" s="1" t="str">
        <f>IFERROR(IF(NOT($C24), "", IF(OR($C$16=0, $C$16=""), "", IF($C$16="Acres", IF(Results!F10&lt;10, ROUND(Results!F10,0), IF(Results!F10&lt;100, ROUND(Results!F10,-1), IF(Results!F10&lt;1000, ROUND(Results!F10,-2), ROUND(Results!F10,-3)))), IF($C$16="Square feet", IF(Results!F20&lt;10, ROUND(Results!F20,0), IF(Results!F20&lt;100, ROUND(Results!F20,-1), IF(Results!F20&lt;1000, ROUND(Results!F20,-2), ROUND(Results!F20,-3)))), "")))),"Awaiting user input...")</f>
        <v/>
      </c>
      <c r="J24" s="1" t="str">
        <f>IFERROR(IF(NOT($C24), "", IF(OR($C$16=0, $C$16=""), "", IF($C$16="Acres", IF(Results!G10&lt;10, ROUND(Results!G10,0), IF(Results!G10&lt;100, ROUND(Results!G10,-1), IF(Results!G10&lt;1000, ROUND(Results!G10,-2), ROUND(Results!G10,-3)))), IF($C$16="Square feet", IF(Results!G20&lt;10, ROUND(Results!G20,0), IF(Results!G20&lt;100, ROUND(Results!G20,-1), IF(Results!G20&lt;1000, ROUND(Results!G20,-2), ROUND(Results!G20,-3)))), "")))),"Awaiting user input...")</f>
        <v/>
      </c>
      <c r="K24" s="1" t="str">
        <f>IFERROR(IF(NOT($C24), "", IF(OR($C$16=0, $C$16=""), "", IF($C$16="Acres", IF(Results!H10&lt;10, ROUND(Results!H10,0), IF(Results!H10&lt;100, ROUND(Results!H10,-1), IF(Results!H10&lt;1000, ROUND(Results!H10,-2), ROUND(Results!H10,-3)))), IF($C$16="Square feet", IF(Results!H20&lt;10, ROUND(Results!H20,0), IF(Results!H20&lt;100, ROUND(Results!H20,-1), IF(Results!H20&lt;1000, ROUND(Results!H20,-2), ROUND(Results!H20,-3)))), "")))),"Awaiting user input...")</f>
        <v/>
      </c>
      <c r="L24" s="1" t="str">
        <f>IFERROR(IF(NOT($C24), "", IF(OR($C$16=0, $C$16=""), "", IF($C$16="Acres", IF(Results!I10&lt;10, ROUND(Results!I10,0), IF(Results!I10&lt;100, ROUND(Results!I10,-1), IF(Results!I10&lt;1000, ROUND(Results!I10,-2), ROUND(Results!I10,-3)))), IF($C$16="Square feet", IF(Results!I20&lt;10, ROUND(Results!I20,0), IF(Results!I20&lt;100, ROUND(Results!I20,-1), IF(Results!I20&lt;1000, ROUND(Results!I20,-2), ROUND(Results!I20,-3)))), "")))),"Awaiting user input...")</f>
        <v/>
      </c>
      <c r="M24" s="1" t="str">
        <f>IFERROR(IF(NOT($C24), "", IF(OR($C$16=0, $C$16=""), "", IF($C$16="Acres", IF(Results!J10&lt;10, ROUND(Results!J10,0), IF(Results!J10&lt;100, ROUND(Results!J10,-1), IF(Results!J10&lt;1000, ROUND(Results!J10,-2), ROUND(Results!J10,-3)))), IF($C$16="Square feet", IF(Results!J20&lt;10, ROUND(Results!J20,0), IF(Results!J20&lt;100, ROUND(Results!J20,-1), IF(Results!J20&lt;1000, ROUND(Results!J20,-2), ROUND(Results!J20,-3)))), "")))),"Awaiting user input...")</f>
        <v/>
      </c>
      <c r="N24" s="1" t="str">
        <f>IFERROR(IF(NOT($C24), "", IF(OR($C$16=0, $C$16=""), "", IF($C$16="Acres", IF(Results!K10&lt;10, ROUND(Results!K10,0), IF(Results!K10&lt;100, ROUND(Results!K10,-1), IF(Results!K10&lt;1000, ROUND(Results!K10,-2), ROUND(Results!K10,-3)))), IF($C$16="Square feet", IF(Results!K20&lt;10, ROUND(Results!K20,0), IF(Results!K20&lt;100, ROUND(Results!K20,-1), IF(Results!K20&lt;1000, ROUND(Results!K20,-2), ROUND(Results!K20,-3)))), "")))),"Awaiting user input...")</f>
        <v/>
      </c>
      <c r="O24" s="1" t="str">
        <f>IFERROR(IF(NOT($C24), "", IF(OR($C$16=0, $C$16=""), "", IF($C$16="Acres", IF(Results!L10&lt;10, ROUND(Results!L10,0), IF(Results!L10&lt;100, ROUND(Results!L10,-1), IF(Results!L10&lt;1000, ROUND(Results!L10,-2), ROUND(Results!L10,-3)))), IF($C$16="Square feet", IF(Results!L20&lt;10, ROUND(Results!L20,0), IF(Results!L20&lt;100, ROUND(Results!L20,-1), IF(Results!L20&lt;1000, ROUND(Results!L20,-2), ROUND(Results!L20,-3)))), "")))),"Choose county and land use...")</f>
        <v/>
      </c>
      <c r="P24" s="8" t="str">
        <f>IFERROR(IF(NOT($C24), "", IF(OR($C$16=0, $C$16=""), "", IF($C$16="Acres", Results!M10, IF($C$16="Square feet", Results!M20, "")))),"Awaiting user input...")</f>
        <v/>
      </c>
      <c r="Q24" s="1"/>
      <c r="R24" s="1"/>
    </row>
    <row r="25" spans="2:18" ht="15" thickBot="1" x14ac:dyDescent="0.4">
      <c r="B25" s="103" t="s">
        <v>34</v>
      </c>
      <c r="C25" s="104"/>
      <c r="Q25" s="1"/>
      <c r="R25" s="1"/>
    </row>
    <row r="26" spans="2:18" x14ac:dyDescent="0.35">
      <c r="L26" s="1"/>
      <c r="M26" s="1"/>
      <c r="N26" s="1"/>
      <c r="O26" s="1"/>
      <c r="P26" s="1"/>
      <c r="Q26" s="1"/>
      <c r="R26" s="1"/>
    </row>
    <row r="27" spans="2:18" x14ac:dyDescent="0.35">
      <c r="L27" s="8"/>
      <c r="M27" s="8"/>
      <c r="N27" s="8"/>
      <c r="O27" s="8"/>
      <c r="P27" s="8"/>
      <c r="Q27" s="1"/>
      <c r="R27" s="1"/>
    </row>
    <row r="28" spans="2:18" x14ac:dyDescent="0.35">
      <c r="Q28" s="8"/>
      <c r="R28" s="8"/>
    </row>
  </sheetData>
  <mergeCells count="1">
    <mergeCell ref="B4:N4"/>
  </mergeCells>
  <dataValidations count="7">
    <dataValidation type="list" allowBlank="1" showInputMessage="1" showErrorMessage="1" sqref="C11" xr:uid="{E4C7F5AF-4C80-4F3C-BC1F-A74860972B7E}">
      <formula1>"Yes,No"</formula1>
    </dataValidation>
    <dataValidation type="list" allowBlank="1" showInputMessage="1" showErrorMessage="1" sqref="C16" xr:uid="{9B25ED69-95E5-453A-897F-105287E3926E}">
      <formula1>"Square feet,Acres"</formula1>
    </dataValidation>
    <dataValidation type="list" allowBlank="1" showInputMessage="1" showErrorMessage="1" sqref="C10" xr:uid="{45B8D5DD-883C-4D69-A99F-90CE21B44CA3}">
      <formula1>"Forest,Wetland/Riparian,Prairie"</formula1>
    </dataValidation>
    <dataValidation type="decimal" allowBlank="1" showInputMessage="1" showErrorMessage="1" sqref="C9" xr:uid="{3529D19C-162A-400B-8385-F0FFCC1CD88C}">
      <formula1>0</formula1>
      <formula2>99999999999999</formula2>
    </dataValidation>
    <dataValidation type="decimal" allowBlank="1" showInputMessage="1" showErrorMessage="1" sqref="C13" xr:uid="{9A09FBC0-69F7-4DFD-8EFA-24A3D22CF143}">
      <formula1>0</formula1>
      <formula2>999999999999999000</formula2>
    </dataValidation>
    <dataValidation type="decimal" allowBlank="1" showInputMessage="1" showErrorMessage="1" sqref="C17" xr:uid="{82B17F45-E5F1-4F12-80C3-E5C9C7AC7368}">
      <formula1>0</formula1>
      <formula2>999999999999</formula2>
    </dataValidation>
    <dataValidation type="decimal" allowBlank="1" showInputMessage="1" showErrorMessage="1" sqref="C25" xr:uid="{AEB49D24-3763-49FB-8F63-9C32E5E11954}">
      <formula1>0</formula1>
      <formula2>99999999999999900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2FFD296-EF28-48A5-98E6-FFC2563AD112}">
          <x14:formula1>
            <xm:f>Results!$P$3:$U$3</xm:f>
          </x14:formula1>
          <xm:sqref>C12</xm:sqref>
        </x14:dataValidation>
        <x14:dataValidation type="list" allowBlank="1" showInputMessage="1" showErrorMessage="1" xr:uid="{25B3614F-B7EC-41CC-9D90-4D3D01711FDB}">
          <x14:formula1>
            <xm:f>Results!$B$24:$B$28</xm:f>
          </x14:formula1>
          <xm:sqref>C14</xm:sqref>
        </x14:dataValidation>
        <x14:dataValidation type="list" allowBlank="1" showInputMessage="1" showErrorMessage="1" xr:uid="{5635FE7D-5538-4F08-BCA4-0C89DB7FDEB6}">
          <x14:formula1>
            <xm:f>Results!$O$4:$O$10</xm:f>
          </x14:formula1>
          <xm:sqref>C15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1205A-3DB0-434C-AF75-7AED1D912AFC}">
  <dimension ref="B2:V77"/>
  <sheetViews>
    <sheetView topLeftCell="A60" workbookViewId="0">
      <selection activeCell="P25" sqref="P25"/>
    </sheetView>
  </sheetViews>
  <sheetFormatPr defaultColWidth="9.1796875" defaultRowHeight="14.5" x14ac:dyDescent="0.35"/>
  <cols>
    <col min="1" max="1" width="4" customWidth="1"/>
    <col min="2" max="2" width="28.1796875" customWidth="1"/>
    <col min="3" max="3" width="21.1796875" customWidth="1"/>
    <col min="4" max="4" width="13.1796875" customWidth="1"/>
    <col min="5" max="5" width="11.54296875" customWidth="1"/>
    <col min="6" max="6" width="11.1796875" customWidth="1"/>
    <col min="7" max="7" width="10.81640625" customWidth="1"/>
    <col min="8" max="8" width="8.81640625" customWidth="1"/>
    <col min="9" max="9" width="43.54296875" customWidth="1"/>
    <col min="10" max="10" width="11.26953125" customWidth="1"/>
    <col min="11" max="11" width="11.54296875" bestFit="1" customWidth="1"/>
    <col min="12" max="12" width="10.81640625" customWidth="1"/>
    <col min="13" max="13" width="12" customWidth="1"/>
    <col min="14" max="14" width="20" customWidth="1"/>
    <col min="15" max="16" width="13.1796875" customWidth="1"/>
    <col min="17" max="17" width="11.7265625" bestFit="1" customWidth="1"/>
    <col min="18" max="18" width="11.7265625" customWidth="1"/>
    <col min="19" max="19" width="11.1796875" customWidth="1"/>
    <col min="20" max="20" width="18.7265625" customWidth="1"/>
    <col min="21" max="21" width="21.54296875" customWidth="1"/>
    <col min="22" max="22" width="27.1796875" customWidth="1"/>
    <col min="24" max="24" width="11" customWidth="1"/>
    <col min="25" max="25" width="12.1796875" customWidth="1"/>
    <col min="26" max="26" width="12.453125" customWidth="1"/>
    <col min="27" max="27" width="11.1796875" bestFit="1" customWidth="1"/>
    <col min="31" max="31" width="21.1796875" customWidth="1"/>
    <col min="32" max="32" width="16.453125" bestFit="1" customWidth="1"/>
    <col min="33" max="33" width="12.453125" bestFit="1" customWidth="1"/>
    <col min="34" max="34" width="14.7265625" bestFit="1" customWidth="1"/>
    <col min="35" max="35" width="13.1796875" customWidth="1"/>
    <col min="36" max="36" width="14.54296875" bestFit="1" customWidth="1"/>
    <col min="37" max="37" width="15.54296875" bestFit="1" customWidth="1"/>
    <col min="38" max="38" width="10.81640625" bestFit="1" customWidth="1"/>
    <col min="39" max="40" width="8.81640625" bestFit="1" customWidth="1"/>
    <col min="42" max="42" width="9.81640625" bestFit="1" customWidth="1"/>
    <col min="43" max="43" width="10.81640625" bestFit="1" customWidth="1"/>
    <col min="44" max="44" width="30.453125" customWidth="1"/>
    <col min="45" max="45" width="17.26953125" customWidth="1"/>
    <col min="46" max="46" width="17.54296875" customWidth="1"/>
    <col min="47" max="47" width="15.54296875" customWidth="1"/>
    <col min="48" max="48" width="13.26953125" customWidth="1"/>
    <col min="50" max="50" width="14.26953125" customWidth="1"/>
    <col min="51" max="51" width="11.453125" customWidth="1"/>
    <col min="53" max="53" width="11.453125" customWidth="1"/>
  </cols>
  <sheetData>
    <row r="2" spans="2:13" ht="23.5" x14ac:dyDescent="0.55000000000000004">
      <c r="B2" s="57" t="s">
        <v>35</v>
      </c>
    </row>
    <row r="3" spans="2:13" ht="23.5" x14ac:dyDescent="0.55000000000000004">
      <c r="B3" s="57"/>
    </row>
    <row r="4" spans="2:13" ht="29.15" customHeight="1" x14ac:dyDescent="0.35">
      <c r="B4" s="114" t="s">
        <v>36</v>
      </c>
      <c r="C4" s="114"/>
      <c r="D4" s="114"/>
      <c r="E4" s="114"/>
      <c r="F4" s="114"/>
      <c r="G4" s="114"/>
      <c r="H4" s="114"/>
      <c r="I4" s="114"/>
      <c r="J4" s="114"/>
    </row>
    <row r="5" spans="2:13" ht="15" thickBot="1" x14ac:dyDescent="0.4">
      <c r="B5" s="35"/>
      <c r="C5" s="35"/>
      <c r="D5" s="35"/>
      <c r="E5" s="35"/>
      <c r="F5" s="35"/>
      <c r="G5" s="35"/>
      <c r="H5" s="35"/>
      <c r="I5" s="35"/>
      <c r="J5" s="35"/>
      <c r="K5" s="35"/>
    </row>
    <row r="6" spans="2:13" ht="15" thickBot="1" x14ac:dyDescent="0.4">
      <c r="B6" s="7" t="s">
        <v>37</v>
      </c>
      <c r="C6" s="36">
        <f>IF('Project Inputs &amp; Results'!C8="",1,((1+$M$9)^('Project Inputs &amp; Results'!C8-2026)))</f>
        <v>1</v>
      </c>
      <c r="D6" s="35"/>
      <c r="G6" s="35"/>
    </row>
    <row r="7" spans="2:13" x14ac:dyDescent="0.35">
      <c r="B7" s="12"/>
      <c r="C7" s="13"/>
      <c r="D7" s="35"/>
      <c r="E7" s="14"/>
      <c r="F7" s="37"/>
      <c r="G7" s="35"/>
    </row>
    <row r="8" spans="2:13" ht="15" thickBot="1" x14ac:dyDescent="0.4">
      <c r="B8" s="3" t="s">
        <v>35</v>
      </c>
      <c r="L8" s="3" t="s">
        <v>38</v>
      </c>
    </row>
    <row r="9" spans="2:13" x14ac:dyDescent="0.35">
      <c r="B9" s="38" t="s">
        <v>39</v>
      </c>
      <c r="C9" s="39" t="s">
        <v>40</v>
      </c>
      <c r="D9" s="39" t="s">
        <v>41</v>
      </c>
      <c r="E9" s="39" t="s">
        <v>42</v>
      </c>
      <c r="F9" s="39" t="s">
        <v>43</v>
      </c>
      <c r="G9" s="39" t="s">
        <v>44</v>
      </c>
      <c r="H9" s="39" t="s">
        <v>45</v>
      </c>
      <c r="I9" s="39" t="s">
        <v>46</v>
      </c>
      <c r="J9" s="39" t="s">
        <v>47</v>
      </c>
      <c r="L9" s="18" t="s">
        <v>48</v>
      </c>
      <c r="M9" s="19">
        <v>3.2500000000000001E-2</v>
      </c>
    </row>
    <row r="10" spans="2:13" ht="15" customHeight="1" x14ac:dyDescent="0.35">
      <c r="B10" s="115" t="s">
        <v>49</v>
      </c>
      <c r="C10" s="40" t="s">
        <v>27</v>
      </c>
      <c r="D10" s="59">
        <f t="shared" ref="D10:D46" si="0">F10</f>
        <v>6552000</v>
      </c>
      <c r="E10" s="41">
        <v>36000</v>
      </c>
      <c r="F10" s="41">
        <v>6552000</v>
      </c>
      <c r="G10" s="87"/>
      <c r="H10" s="40" t="s">
        <v>50</v>
      </c>
      <c r="I10" s="118" t="s">
        <v>51</v>
      </c>
      <c r="J10" s="111" t="s">
        <v>52</v>
      </c>
      <c r="L10" s="20" t="s">
        <v>53</v>
      </c>
      <c r="M10" s="21">
        <v>50</v>
      </c>
    </row>
    <row r="11" spans="2:13" x14ac:dyDescent="0.35">
      <c r="B11" s="116"/>
      <c r="C11" s="40" t="s">
        <v>54</v>
      </c>
      <c r="D11" s="59">
        <f t="shared" si="0"/>
        <v>17471000</v>
      </c>
      <c r="E11" s="41">
        <v>36000</v>
      </c>
      <c r="F11" s="41">
        <v>17471000</v>
      </c>
      <c r="G11" s="87"/>
      <c r="H11" s="40" t="s">
        <v>50</v>
      </c>
      <c r="I11" s="119"/>
      <c r="J11" s="112"/>
      <c r="L11" s="22" t="s">
        <v>55</v>
      </c>
      <c r="M11" s="43">
        <v>7.6526212382031567</v>
      </c>
    </row>
    <row r="12" spans="2:13" x14ac:dyDescent="0.35">
      <c r="B12" s="116"/>
      <c r="C12" s="40" t="s">
        <v>29</v>
      </c>
      <c r="D12" s="59">
        <f t="shared" si="0"/>
        <v>6552000</v>
      </c>
      <c r="E12" s="41">
        <v>36000</v>
      </c>
      <c r="F12" s="41">
        <v>6552000</v>
      </c>
      <c r="G12" s="87"/>
      <c r="H12" s="40" t="s">
        <v>50</v>
      </c>
      <c r="I12" s="119"/>
      <c r="J12" s="112"/>
      <c r="L12" s="22" t="s">
        <v>56</v>
      </c>
      <c r="M12" s="43">
        <v>1.7567969524118223E-4</v>
      </c>
    </row>
    <row r="13" spans="2:13" x14ac:dyDescent="0.35">
      <c r="B13" s="116"/>
      <c r="C13" s="40" t="s">
        <v>30</v>
      </c>
      <c r="D13" s="59">
        <f t="shared" si="0"/>
        <v>2184000</v>
      </c>
      <c r="E13" s="41">
        <v>36000</v>
      </c>
      <c r="F13" s="41">
        <v>2184000</v>
      </c>
      <c r="G13" s="87"/>
      <c r="H13" s="40" t="s">
        <v>50</v>
      </c>
      <c r="I13" s="119"/>
      <c r="J13" s="112"/>
      <c r="L13" s="91" t="s">
        <v>57</v>
      </c>
      <c r="M13" s="106">
        <v>43560</v>
      </c>
    </row>
    <row r="14" spans="2:13" x14ac:dyDescent="0.35">
      <c r="B14" s="116"/>
      <c r="C14" s="40" t="s">
        <v>31</v>
      </c>
      <c r="D14" s="59">
        <f t="shared" si="0"/>
        <v>1529000</v>
      </c>
      <c r="E14" s="41">
        <v>36000</v>
      </c>
      <c r="F14" s="41">
        <v>1529000</v>
      </c>
      <c r="G14" s="87"/>
      <c r="H14" s="40" t="s">
        <v>50</v>
      </c>
      <c r="I14" s="119"/>
      <c r="J14" s="112"/>
      <c r="L14" s="23" t="s">
        <v>58</v>
      </c>
      <c r="M14" s="60">
        <v>3.5314699999999997E-2</v>
      </c>
    </row>
    <row r="15" spans="2:13" x14ac:dyDescent="0.35">
      <c r="B15" s="116"/>
      <c r="C15" s="40" t="s">
        <v>32</v>
      </c>
      <c r="D15" s="59">
        <f t="shared" si="0"/>
        <v>800</v>
      </c>
      <c r="E15" s="42">
        <v>20</v>
      </c>
      <c r="F15" s="41">
        <v>800</v>
      </c>
      <c r="G15" s="87"/>
      <c r="H15" s="40" t="s">
        <v>59</v>
      </c>
      <c r="I15" s="119"/>
      <c r="J15" s="112"/>
      <c r="L15" s="24" t="s">
        <v>60</v>
      </c>
      <c r="M15" s="61">
        <v>10.7639</v>
      </c>
    </row>
    <row r="16" spans="2:13" x14ac:dyDescent="0.35">
      <c r="B16" s="117"/>
      <c r="C16" s="40" t="s">
        <v>33</v>
      </c>
      <c r="D16" s="59">
        <f t="shared" si="0"/>
        <v>645000</v>
      </c>
      <c r="E16" s="41">
        <v>36000</v>
      </c>
      <c r="F16" s="41">
        <v>645000</v>
      </c>
      <c r="G16" s="87"/>
      <c r="H16" s="40" t="s">
        <v>50</v>
      </c>
      <c r="I16" s="120"/>
      <c r="J16" s="113"/>
    </row>
    <row r="17" spans="2:22" ht="15" customHeight="1" x14ac:dyDescent="0.35">
      <c r="B17" s="115" t="s">
        <v>61</v>
      </c>
      <c r="C17" s="40" t="s">
        <v>27</v>
      </c>
      <c r="D17" s="59">
        <f t="shared" si="0"/>
        <v>1801000</v>
      </c>
      <c r="E17" s="42">
        <v>4000</v>
      </c>
      <c r="F17" s="42">
        <v>1801000</v>
      </c>
      <c r="G17" s="42">
        <v>5766000</v>
      </c>
      <c r="H17" s="40" t="s">
        <v>50</v>
      </c>
      <c r="I17" s="121" t="s">
        <v>62</v>
      </c>
      <c r="J17" s="111" t="s">
        <v>63</v>
      </c>
      <c r="L17" s="62" t="s">
        <v>64</v>
      </c>
      <c r="M17" s="63"/>
      <c r="N17" s="63"/>
    </row>
    <row r="18" spans="2:22" x14ac:dyDescent="0.35">
      <c r="B18" s="116"/>
      <c r="C18" s="40" t="s">
        <v>54</v>
      </c>
      <c r="D18" s="59">
        <f t="shared" si="0"/>
        <v>3405000</v>
      </c>
      <c r="E18" s="42">
        <v>2000</v>
      </c>
      <c r="F18" s="42">
        <v>3405000</v>
      </c>
      <c r="G18" s="42">
        <v>11542000</v>
      </c>
      <c r="H18" s="40" t="s">
        <v>50</v>
      </c>
      <c r="I18" s="122"/>
      <c r="J18" s="112"/>
      <c r="L18" s="64" t="s">
        <v>65</v>
      </c>
      <c r="M18" s="65" t="s">
        <v>66</v>
      </c>
      <c r="N18" s="66" t="s">
        <v>67</v>
      </c>
    </row>
    <row r="19" spans="2:22" ht="43.5" x14ac:dyDescent="0.35">
      <c r="B19" s="116"/>
      <c r="C19" s="40" t="s">
        <v>29</v>
      </c>
      <c r="D19" s="59">
        <f t="shared" si="0"/>
        <v>5127000</v>
      </c>
      <c r="E19" s="42">
        <v>15000</v>
      </c>
      <c r="F19" s="42">
        <v>5127000</v>
      </c>
      <c r="G19" s="42">
        <v>15900000</v>
      </c>
      <c r="H19" s="40" t="s">
        <v>50</v>
      </c>
      <c r="I19" s="122"/>
      <c r="J19" s="112"/>
      <c r="L19" s="81" t="s">
        <v>27</v>
      </c>
      <c r="M19" s="67">
        <v>1.5</v>
      </c>
      <c r="N19" s="83" t="s">
        <v>68</v>
      </c>
    </row>
    <row r="20" spans="2:22" ht="39" x14ac:dyDescent="0.35">
      <c r="B20" s="116"/>
      <c r="C20" s="40" t="s">
        <v>30</v>
      </c>
      <c r="D20" s="59">
        <f t="shared" si="0"/>
        <v>4718000</v>
      </c>
      <c r="E20" s="42">
        <v>4000</v>
      </c>
      <c r="F20" s="42">
        <v>4718000</v>
      </c>
      <c r="G20" s="42">
        <v>15900000</v>
      </c>
      <c r="H20" s="40" t="s">
        <v>50</v>
      </c>
      <c r="I20" s="122"/>
      <c r="J20" s="112"/>
      <c r="L20" s="81" t="s">
        <v>54</v>
      </c>
      <c r="M20" s="67">
        <v>4</v>
      </c>
      <c r="N20" s="83" t="s">
        <v>69</v>
      </c>
    </row>
    <row r="21" spans="2:22" ht="58" x14ac:dyDescent="0.35">
      <c r="B21" s="116"/>
      <c r="C21" s="40" t="s">
        <v>31</v>
      </c>
      <c r="D21" s="59">
        <f t="shared" si="0"/>
        <v>93000</v>
      </c>
      <c r="E21" s="42">
        <v>300</v>
      </c>
      <c r="F21" s="42">
        <v>93000</v>
      </c>
      <c r="G21" s="42">
        <v>287000</v>
      </c>
      <c r="H21" s="40" t="s">
        <v>50</v>
      </c>
      <c r="I21" s="122"/>
      <c r="J21" s="112"/>
      <c r="L21" s="81" t="s">
        <v>29</v>
      </c>
      <c r="M21" s="67">
        <v>1.5</v>
      </c>
      <c r="N21" s="83" t="s">
        <v>70</v>
      </c>
    </row>
    <row r="22" spans="2:22" ht="15" thickBot="1" x14ac:dyDescent="0.4">
      <c r="B22" s="116"/>
      <c r="C22" s="40" t="s">
        <v>32</v>
      </c>
      <c r="D22" s="59">
        <f t="shared" si="0"/>
        <v>200</v>
      </c>
      <c r="E22" s="42">
        <v>2</v>
      </c>
      <c r="F22" s="42">
        <v>200</v>
      </c>
      <c r="G22" s="42">
        <v>400</v>
      </c>
      <c r="H22" s="40" t="s">
        <v>59</v>
      </c>
      <c r="I22" s="122"/>
      <c r="J22" s="112"/>
      <c r="L22" s="81" t="s">
        <v>30</v>
      </c>
      <c r="M22" s="67">
        <v>0.5</v>
      </c>
      <c r="N22" s="83" t="s">
        <v>71</v>
      </c>
    </row>
    <row r="23" spans="2:22" ht="101.5" x14ac:dyDescent="0.35">
      <c r="B23" s="117"/>
      <c r="C23" s="40" t="s">
        <v>33</v>
      </c>
      <c r="D23" s="59">
        <f t="shared" si="0"/>
        <v>61000</v>
      </c>
      <c r="E23" s="42">
        <v>300</v>
      </c>
      <c r="F23" s="42">
        <v>61000</v>
      </c>
      <c r="G23" s="42">
        <v>173000</v>
      </c>
      <c r="H23" s="40" t="s">
        <v>50</v>
      </c>
      <c r="I23" s="122"/>
      <c r="J23" s="112"/>
      <c r="L23" s="81" t="s">
        <v>31</v>
      </c>
      <c r="M23" s="67">
        <f>0.35</f>
        <v>0.35</v>
      </c>
      <c r="N23" s="83" t="s">
        <v>72</v>
      </c>
    </row>
    <row r="24" spans="2:22" ht="58" x14ac:dyDescent="0.35">
      <c r="B24" s="115" t="s">
        <v>73</v>
      </c>
      <c r="C24" s="40" t="s">
        <v>27</v>
      </c>
      <c r="D24" s="59">
        <f t="shared" si="0"/>
        <v>1827000</v>
      </c>
      <c r="E24" s="42">
        <v>90000</v>
      </c>
      <c r="F24" s="42">
        <v>1827000</v>
      </c>
      <c r="G24" s="42">
        <v>6092000</v>
      </c>
      <c r="H24" s="40" t="s">
        <v>50</v>
      </c>
      <c r="I24" s="122"/>
      <c r="J24" s="112"/>
      <c r="L24" s="81" t="s">
        <v>32</v>
      </c>
      <c r="M24" s="67">
        <v>1</v>
      </c>
      <c r="N24" s="83" t="s">
        <v>74</v>
      </c>
    </row>
    <row r="25" spans="2:22" ht="72.5" x14ac:dyDescent="0.35">
      <c r="B25" s="116"/>
      <c r="C25" s="40" t="s">
        <v>54</v>
      </c>
      <c r="D25" s="59">
        <f t="shared" si="0"/>
        <v>3545000</v>
      </c>
      <c r="E25" s="42">
        <v>100000</v>
      </c>
      <c r="F25" s="42">
        <v>3545000</v>
      </c>
      <c r="G25" s="42">
        <v>12067000</v>
      </c>
      <c r="H25" s="40" t="s">
        <v>50</v>
      </c>
      <c r="I25" s="122"/>
      <c r="J25" s="112"/>
      <c r="L25" s="82" t="s">
        <v>33</v>
      </c>
      <c r="M25" s="68">
        <f>45*M14/M15</f>
        <v>0.14763807727682346</v>
      </c>
      <c r="N25" s="84" t="s">
        <v>75</v>
      </c>
    </row>
    <row r="26" spans="2:22" ht="15" thickBot="1" x14ac:dyDescent="0.4">
      <c r="B26" s="116"/>
      <c r="C26" s="40" t="s">
        <v>29</v>
      </c>
      <c r="D26" s="59">
        <f t="shared" si="0"/>
        <v>2325000</v>
      </c>
      <c r="E26" s="42">
        <v>50000</v>
      </c>
      <c r="F26" s="42">
        <v>2325000</v>
      </c>
      <c r="G26" s="42">
        <v>7965000</v>
      </c>
      <c r="H26" s="40" t="s">
        <v>50</v>
      </c>
      <c r="I26" s="122"/>
      <c r="J26" s="112"/>
    </row>
    <row r="27" spans="2:22" ht="15" thickBot="1" x14ac:dyDescent="0.4">
      <c r="B27" s="116"/>
      <c r="C27" s="40" t="s">
        <v>30</v>
      </c>
      <c r="D27" s="59">
        <f t="shared" si="0"/>
        <v>2363000</v>
      </c>
      <c r="E27" s="42">
        <v>90000</v>
      </c>
      <c r="F27" s="42">
        <v>2363000</v>
      </c>
      <c r="G27" s="42">
        <v>7965000</v>
      </c>
      <c r="H27" s="40" t="s">
        <v>50</v>
      </c>
      <c r="I27" s="122"/>
      <c r="J27" s="112"/>
      <c r="L27" s="64" t="s">
        <v>76</v>
      </c>
      <c r="M27" s="70"/>
      <c r="N27" s="71"/>
      <c r="O27" s="72"/>
    </row>
    <row r="28" spans="2:22" ht="15" thickBot="1" x14ac:dyDescent="0.4">
      <c r="B28" s="116"/>
      <c r="C28" s="40" t="s">
        <v>31</v>
      </c>
      <c r="D28" s="59">
        <f t="shared" si="0"/>
        <v>74000</v>
      </c>
      <c r="E28" s="42">
        <v>9000</v>
      </c>
      <c r="F28" s="42">
        <v>74000</v>
      </c>
      <c r="G28" s="42">
        <v>228000</v>
      </c>
      <c r="H28" s="40" t="s">
        <v>50</v>
      </c>
      <c r="I28" s="122"/>
      <c r="J28" s="112"/>
      <c r="L28" s="73" t="s">
        <v>65</v>
      </c>
      <c r="M28" s="74" t="s">
        <v>77</v>
      </c>
      <c r="N28" s="74" t="s">
        <v>43</v>
      </c>
      <c r="O28" s="75" t="s">
        <v>78</v>
      </c>
    </row>
    <row r="29" spans="2:22" ht="15" thickBot="1" x14ac:dyDescent="0.4">
      <c r="B29" s="116"/>
      <c r="C29" s="40" t="s">
        <v>32</v>
      </c>
      <c r="D29" s="59">
        <f t="shared" si="0"/>
        <v>200</v>
      </c>
      <c r="E29" s="42">
        <v>70</v>
      </c>
      <c r="F29" s="42">
        <v>200</v>
      </c>
      <c r="G29" s="42">
        <v>400</v>
      </c>
      <c r="H29" s="40" t="s">
        <v>59</v>
      </c>
      <c r="I29" s="122"/>
      <c r="J29" s="112"/>
      <c r="L29" s="73" t="s">
        <v>79</v>
      </c>
      <c r="M29" s="76">
        <v>0</v>
      </c>
      <c r="N29" s="76">
        <v>2.4E-2</v>
      </c>
      <c r="O29" s="77">
        <v>0.127</v>
      </c>
    </row>
    <row r="30" spans="2:22" ht="15" thickBot="1" x14ac:dyDescent="0.4">
      <c r="B30" s="117"/>
      <c r="C30" s="40" t="s">
        <v>33</v>
      </c>
      <c r="D30" s="59">
        <f t="shared" si="0"/>
        <v>64000</v>
      </c>
      <c r="E30" s="42">
        <v>0</v>
      </c>
      <c r="F30" s="42">
        <v>64000</v>
      </c>
      <c r="G30" s="42">
        <v>224000</v>
      </c>
      <c r="H30" s="40" t="s">
        <v>50</v>
      </c>
      <c r="I30" s="122"/>
      <c r="J30" s="112"/>
      <c r="L30" s="73" t="s">
        <v>80</v>
      </c>
      <c r="M30" s="76">
        <v>0</v>
      </c>
      <c r="N30" s="76">
        <v>6.1443515385664046E-2</v>
      </c>
      <c r="O30" s="77">
        <v>0.21212121212121213</v>
      </c>
    </row>
    <row r="31" spans="2:22" ht="15" thickBot="1" x14ac:dyDescent="0.4">
      <c r="B31" s="115" t="s">
        <v>81</v>
      </c>
      <c r="C31" s="40" t="s">
        <v>27</v>
      </c>
      <c r="D31" s="59">
        <f t="shared" si="0"/>
        <v>491000</v>
      </c>
      <c r="E31" s="42">
        <v>11000</v>
      </c>
      <c r="F31" s="42">
        <v>491000</v>
      </c>
      <c r="G31" s="42">
        <v>1566000</v>
      </c>
      <c r="H31" s="40" t="s">
        <v>50</v>
      </c>
      <c r="I31" s="122"/>
      <c r="J31" s="112"/>
      <c r="L31" s="73" t="s">
        <v>82</v>
      </c>
      <c r="M31" s="76">
        <v>0</v>
      </c>
      <c r="N31" s="76">
        <v>5.1000000000000004E-2</v>
      </c>
      <c r="O31" s="77">
        <v>1.5</v>
      </c>
      <c r="U31" s="47"/>
      <c r="V31" s="47"/>
    </row>
    <row r="32" spans="2:22" ht="15" thickBot="1" x14ac:dyDescent="0.4">
      <c r="B32" s="116"/>
      <c r="C32" s="40" t="s">
        <v>54</v>
      </c>
      <c r="D32" s="59">
        <f t="shared" si="0"/>
        <v>533000</v>
      </c>
      <c r="E32" s="42">
        <v>0</v>
      </c>
      <c r="F32" s="42">
        <v>533000</v>
      </c>
      <c r="G32" s="42">
        <v>1772000</v>
      </c>
      <c r="H32" s="40" t="s">
        <v>50</v>
      </c>
      <c r="I32" s="122"/>
      <c r="J32" s="112"/>
      <c r="L32" s="73" t="s">
        <v>83</v>
      </c>
      <c r="M32" s="76">
        <v>0</v>
      </c>
      <c r="N32" s="76">
        <v>1.9E-2</v>
      </c>
      <c r="O32" s="77">
        <v>0.53865815091934177</v>
      </c>
      <c r="U32" s="47"/>
      <c r="V32" s="47"/>
    </row>
    <row r="33" spans="2:22" ht="15" thickBot="1" x14ac:dyDescent="0.4">
      <c r="B33" s="116"/>
      <c r="C33" s="40" t="s">
        <v>29</v>
      </c>
      <c r="D33" s="59">
        <f t="shared" si="0"/>
        <v>1118000</v>
      </c>
      <c r="E33" s="42">
        <v>153000</v>
      </c>
      <c r="F33" s="42">
        <v>1118000</v>
      </c>
      <c r="G33" s="42">
        <v>3471000</v>
      </c>
      <c r="H33" s="40" t="s">
        <v>50</v>
      </c>
      <c r="I33" s="122"/>
      <c r="J33" s="112"/>
      <c r="L33" s="80" t="s">
        <v>33</v>
      </c>
      <c r="M33" s="78">
        <v>0</v>
      </c>
      <c r="N33" s="78">
        <v>1.2E-2</v>
      </c>
      <c r="O33" s="79">
        <v>0.16</v>
      </c>
      <c r="U33" s="47"/>
      <c r="V33" s="47"/>
    </row>
    <row r="34" spans="2:22" ht="15" thickBot="1" x14ac:dyDescent="0.4">
      <c r="B34" s="116"/>
      <c r="C34" s="40" t="s">
        <v>30</v>
      </c>
      <c r="D34" s="59">
        <f t="shared" si="0"/>
        <v>1064000</v>
      </c>
      <c r="E34" s="42">
        <v>41000</v>
      </c>
      <c r="F34" s="42">
        <v>1064000</v>
      </c>
      <c r="G34" s="42">
        <v>3471000</v>
      </c>
      <c r="H34" s="40" t="s">
        <v>50</v>
      </c>
      <c r="I34" s="122"/>
      <c r="J34" s="112"/>
    </row>
    <row r="35" spans="2:22" x14ac:dyDescent="0.35">
      <c r="B35" s="116"/>
      <c r="C35" s="40" t="s">
        <v>31</v>
      </c>
      <c r="D35" s="59">
        <f t="shared" si="0"/>
        <v>24000</v>
      </c>
      <c r="E35" s="42">
        <v>10000</v>
      </c>
      <c r="F35" s="42">
        <v>24000</v>
      </c>
      <c r="G35" s="42">
        <v>64000</v>
      </c>
      <c r="H35" s="40" t="s">
        <v>50</v>
      </c>
      <c r="I35" s="122"/>
      <c r="J35" s="112"/>
      <c r="L35" s="64" t="s">
        <v>84</v>
      </c>
      <c r="M35" s="65" t="s">
        <v>85</v>
      </c>
      <c r="N35" s="65" t="s">
        <v>86</v>
      </c>
      <c r="O35" s="65" t="s">
        <v>87</v>
      </c>
      <c r="P35" s="66" t="s">
        <v>67</v>
      </c>
    </row>
    <row r="36" spans="2:22" x14ac:dyDescent="0.35">
      <c r="B36" s="116"/>
      <c r="C36" s="40" t="s">
        <v>32</v>
      </c>
      <c r="D36" s="59">
        <f t="shared" si="0"/>
        <v>50</v>
      </c>
      <c r="E36" s="42">
        <v>30</v>
      </c>
      <c r="F36" s="42">
        <v>50</v>
      </c>
      <c r="G36" s="42">
        <v>100</v>
      </c>
      <c r="H36" s="40" t="s">
        <v>59</v>
      </c>
      <c r="I36" s="122"/>
      <c r="J36" s="112"/>
      <c r="L36" s="85" t="s">
        <v>88</v>
      </c>
      <c r="M36" s="108">
        <v>328180</v>
      </c>
      <c r="N36" s="86">
        <v>2023</v>
      </c>
      <c r="O36" s="107">
        <v>353348</v>
      </c>
      <c r="P36" s="69" t="s">
        <v>89</v>
      </c>
    </row>
    <row r="37" spans="2:22" x14ac:dyDescent="0.35">
      <c r="B37" s="117"/>
      <c r="C37" s="40" t="s">
        <v>33</v>
      </c>
      <c r="D37" s="59">
        <f t="shared" si="0"/>
        <v>0</v>
      </c>
      <c r="E37" s="42">
        <v>0</v>
      </c>
      <c r="F37" s="42">
        <v>0</v>
      </c>
      <c r="G37" s="42">
        <v>0</v>
      </c>
      <c r="H37" s="40" t="s">
        <v>50</v>
      </c>
      <c r="I37" s="123"/>
      <c r="J37" s="113"/>
    </row>
    <row r="38" spans="2:22" ht="15" customHeight="1" x14ac:dyDescent="0.35">
      <c r="B38" s="115" t="s">
        <v>90</v>
      </c>
      <c r="C38" s="40" t="s">
        <v>27</v>
      </c>
      <c r="D38" s="59">
        <f t="shared" si="0"/>
        <v>0</v>
      </c>
      <c r="E38" s="42">
        <f>ROUND(PV($M$9,$M$10,-'Project Inputs &amp; Results'!$C$9*$O$36*M29),-3)</f>
        <v>0</v>
      </c>
      <c r="F38" s="42">
        <f>ROUND(PV($M$9,$M$10,-'Project Inputs &amp; Results'!$C$9*$O$36*N29),-3)</f>
        <v>0</v>
      </c>
      <c r="G38" s="42">
        <f>ROUND(PV($M$9,$M$10,-'Project Inputs &amp; Results'!$C$9*$O$36*O29),-3)</f>
        <v>0</v>
      </c>
      <c r="H38" s="40" t="s">
        <v>50</v>
      </c>
      <c r="I38" s="118" t="s">
        <v>91</v>
      </c>
      <c r="J38" s="111" t="s">
        <v>92</v>
      </c>
      <c r="L38" s="1"/>
      <c r="M38" s="1"/>
      <c r="N38" s="1"/>
    </row>
    <row r="39" spans="2:22" ht="15" thickBot="1" x14ac:dyDescent="0.4">
      <c r="B39" s="116"/>
      <c r="C39" s="40" t="s">
        <v>54</v>
      </c>
      <c r="D39" s="59">
        <f t="shared" si="0"/>
        <v>0</v>
      </c>
      <c r="E39" s="42">
        <f>ROUND(PV($M$9,$M$10,-'Project Inputs &amp; Results'!$C$9*$O$36*M30),-3)</f>
        <v>0</v>
      </c>
      <c r="F39" s="42">
        <f>ROUND(PV($M$9,$M$10,-'Project Inputs &amp; Results'!$C$9*$O$36*N30),-3)</f>
        <v>0</v>
      </c>
      <c r="G39" s="42">
        <f>ROUND(PV($M$9,$M$10,-'Project Inputs &amp; Results'!$C$9*$O$36*O30),-3)</f>
        <v>0</v>
      </c>
      <c r="H39" s="40" t="s">
        <v>50</v>
      </c>
      <c r="I39" s="119"/>
      <c r="J39" s="112"/>
      <c r="L39" s="1"/>
      <c r="M39" s="1"/>
      <c r="N39" s="1"/>
    </row>
    <row r="40" spans="2:22" ht="15" thickBot="1" x14ac:dyDescent="0.4">
      <c r="B40" s="116"/>
      <c r="C40" s="40" t="s">
        <v>29</v>
      </c>
      <c r="D40" s="59">
        <f t="shared" si="0"/>
        <v>0</v>
      </c>
      <c r="E40" s="42">
        <f>ROUND(PV($M$9,$M$10,-'Project Inputs &amp; Results'!$C$9*$O$36*M31),-3)</f>
        <v>0</v>
      </c>
      <c r="F40" s="42">
        <f>ROUND(PV($M$9,$M$10,-'Project Inputs &amp; Results'!$C$9*$O$36*N31),-3)</f>
        <v>0</v>
      </c>
      <c r="G40" s="42">
        <f>ROUND(PV($M$9,$M$10,-'Project Inputs &amp; Results'!$C$9*$O$36*O31),-3)</f>
        <v>0</v>
      </c>
      <c r="H40" s="40" t="s">
        <v>50</v>
      </c>
      <c r="I40" s="119"/>
      <c r="J40" s="112"/>
      <c r="L40" s="1"/>
      <c r="M40" s="1"/>
      <c r="N40" s="1"/>
    </row>
    <row r="41" spans="2:22" ht="15" thickBot="1" x14ac:dyDescent="0.4">
      <c r="B41" s="116"/>
      <c r="C41" s="40" t="s">
        <v>30</v>
      </c>
      <c r="D41" s="59">
        <f t="shared" si="0"/>
        <v>0</v>
      </c>
      <c r="E41" s="42">
        <f>ROUND(PV($M$9,$M$10,-'Project Inputs &amp; Results'!$C$9*$O$36*M32),-3)</f>
        <v>0</v>
      </c>
      <c r="F41" s="42">
        <f>ROUND(PV($M$9,$M$10,-'Project Inputs &amp; Results'!$C$9*$O$36*N32),-3)</f>
        <v>0</v>
      </c>
      <c r="G41" s="42">
        <f>ROUND(PV($M$9,$M$10,-'Project Inputs &amp; Results'!$C$9*$O$36*O32),-3)</f>
        <v>0</v>
      </c>
      <c r="H41" s="40" t="s">
        <v>50</v>
      </c>
      <c r="I41" s="119"/>
      <c r="J41" s="112"/>
      <c r="L41" s="1"/>
      <c r="M41" s="1"/>
      <c r="N41" s="1"/>
    </row>
    <row r="42" spans="2:22" x14ac:dyDescent="0.35">
      <c r="B42" s="116"/>
      <c r="C42" s="40" t="s">
        <v>31</v>
      </c>
      <c r="D42" s="59">
        <f t="shared" si="0"/>
        <v>0</v>
      </c>
      <c r="E42" s="42">
        <v>0</v>
      </c>
      <c r="F42" s="42">
        <v>0</v>
      </c>
      <c r="G42" s="42">
        <v>0</v>
      </c>
      <c r="H42" s="40" t="s">
        <v>50</v>
      </c>
      <c r="I42" s="119"/>
      <c r="J42" s="112"/>
      <c r="L42" s="1"/>
      <c r="M42" s="1"/>
      <c r="N42" s="1"/>
    </row>
    <row r="43" spans="2:22" x14ac:dyDescent="0.35">
      <c r="B43" s="116"/>
      <c r="C43" s="40" t="s">
        <v>32</v>
      </c>
      <c r="D43" s="59">
        <v>1151.9271158406652</v>
      </c>
      <c r="E43" s="42">
        <v>1000</v>
      </c>
      <c r="F43" s="42">
        <v>12000</v>
      </c>
      <c r="G43" s="42">
        <v>28000</v>
      </c>
      <c r="H43" s="40" t="s">
        <v>59</v>
      </c>
      <c r="I43" s="119"/>
      <c r="J43" s="112"/>
      <c r="L43" s="1"/>
      <c r="M43" s="1"/>
      <c r="N43" s="1"/>
    </row>
    <row r="44" spans="2:22" x14ac:dyDescent="0.35">
      <c r="B44" s="117"/>
      <c r="C44" s="40" t="s">
        <v>33</v>
      </c>
      <c r="D44" s="59">
        <f t="shared" si="0"/>
        <v>0</v>
      </c>
      <c r="E44" s="42">
        <f>ROUND(PV($M$9,$M$10,-'Project Inputs &amp; Results'!$C$9*$O$36*M33),-3)</f>
        <v>0</v>
      </c>
      <c r="F44" s="42">
        <f>ROUND(PV($M$9,$M$10,-'Project Inputs &amp; Results'!$C$9*$O$36*N33),-3)</f>
        <v>0</v>
      </c>
      <c r="G44" s="42">
        <f>ROUND(PV($M$9,$M$10,-'Project Inputs &amp; Results'!$C$9*$O$36*O33),-3)</f>
        <v>0</v>
      </c>
      <c r="H44" s="40" t="s">
        <v>50</v>
      </c>
      <c r="I44" s="120"/>
      <c r="J44" s="113"/>
      <c r="L44" s="1"/>
    </row>
    <row r="45" spans="2:22" ht="15" customHeight="1" x14ac:dyDescent="0.35">
      <c r="B45" s="115" t="s">
        <v>93</v>
      </c>
      <c r="C45" s="40" t="s">
        <v>32</v>
      </c>
      <c r="D45" s="59">
        <f t="shared" si="0"/>
        <v>200</v>
      </c>
      <c r="E45" s="42">
        <v>3</v>
      </c>
      <c r="F45" s="42">
        <v>200</v>
      </c>
      <c r="G45" s="42">
        <v>800</v>
      </c>
      <c r="H45" s="40" t="s">
        <v>59</v>
      </c>
      <c r="I45" s="118" t="s">
        <v>94</v>
      </c>
      <c r="J45" s="111" t="s">
        <v>95</v>
      </c>
      <c r="L45" s="1"/>
    </row>
    <row r="46" spans="2:22" ht="15" thickBot="1" x14ac:dyDescent="0.4">
      <c r="B46" s="117"/>
      <c r="C46" s="40" t="s">
        <v>33</v>
      </c>
      <c r="D46" s="59">
        <f t="shared" si="0"/>
        <v>34000</v>
      </c>
      <c r="E46" s="42">
        <v>18000</v>
      </c>
      <c r="F46" s="42">
        <v>34000</v>
      </c>
      <c r="G46" s="42">
        <v>142000</v>
      </c>
      <c r="H46" s="40" t="s">
        <v>50</v>
      </c>
      <c r="I46" s="120"/>
      <c r="J46" s="113"/>
      <c r="L46" s="5"/>
    </row>
    <row r="47" spans="2:22" ht="15" thickBot="1" x14ac:dyDescent="0.4">
      <c r="B47" s="115" t="s">
        <v>96</v>
      </c>
      <c r="C47" s="40" t="s">
        <v>27</v>
      </c>
      <c r="D47" s="59">
        <f t="shared" ref="D47:D60" si="1">F47</f>
        <v>400</v>
      </c>
      <c r="E47" s="42">
        <v>30</v>
      </c>
      <c r="F47" s="42">
        <v>400</v>
      </c>
      <c r="G47" s="42">
        <v>2000</v>
      </c>
      <c r="H47" s="40" t="s">
        <v>50</v>
      </c>
      <c r="I47" s="118" t="s">
        <v>97</v>
      </c>
      <c r="J47" s="124" t="s">
        <v>98</v>
      </c>
      <c r="L47" s="5"/>
    </row>
    <row r="48" spans="2:22" ht="15" thickBot="1" x14ac:dyDescent="0.4">
      <c r="B48" s="116"/>
      <c r="C48" s="40" t="s">
        <v>54</v>
      </c>
      <c r="D48" s="59">
        <f t="shared" si="1"/>
        <v>0</v>
      </c>
      <c r="E48" s="42">
        <v>0</v>
      </c>
      <c r="F48" s="42">
        <v>0</v>
      </c>
      <c r="G48" s="42">
        <v>0</v>
      </c>
      <c r="H48" s="40" t="s">
        <v>50</v>
      </c>
      <c r="I48" s="119"/>
      <c r="J48" s="125"/>
      <c r="L48" s="5"/>
    </row>
    <row r="49" spans="2:12" ht="15" customHeight="1" thickBot="1" x14ac:dyDescent="0.4">
      <c r="B49" s="116"/>
      <c r="C49" s="40" t="s">
        <v>29</v>
      </c>
      <c r="D49" s="59">
        <f t="shared" si="1"/>
        <v>300</v>
      </c>
      <c r="E49" s="42">
        <v>20</v>
      </c>
      <c r="F49" s="42">
        <v>300</v>
      </c>
      <c r="G49" s="42">
        <v>1000</v>
      </c>
      <c r="H49" s="40" t="s">
        <v>50</v>
      </c>
      <c r="I49" s="119"/>
      <c r="J49" s="125"/>
      <c r="L49" s="5"/>
    </row>
    <row r="50" spans="2:12" ht="15" thickBot="1" x14ac:dyDescent="0.4">
      <c r="B50" s="116"/>
      <c r="C50" s="40" t="s">
        <v>30</v>
      </c>
      <c r="D50" s="59">
        <f t="shared" si="1"/>
        <v>500</v>
      </c>
      <c r="E50" s="42">
        <v>30</v>
      </c>
      <c r="F50" s="42">
        <v>500</v>
      </c>
      <c r="G50" s="42">
        <v>3000</v>
      </c>
      <c r="H50" s="40" t="s">
        <v>50</v>
      </c>
      <c r="I50" s="119"/>
      <c r="J50" s="125"/>
      <c r="L50" s="5"/>
    </row>
    <row r="51" spans="2:12" ht="15" thickBot="1" x14ac:dyDescent="0.4">
      <c r="B51" s="116"/>
      <c r="C51" s="40" t="s">
        <v>31</v>
      </c>
      <c r="D51" s="59">
        <f t="shared" si="1"/>
        <v>0</v>
      </c>
      <c r="E51" s="42">
        <v>0</v>
      </c>
      <c r="F51" s="42">
        <v>0</v>
      </c>
      <c r="G51" s="42">
        <v>0</v>
      </c>
      <c r="H51" s="40" t="s">
        <v>50</v>
      </c>
      <c r="I51" s="119"/>
      <c r="J51" s="125"/>
      <c r="L51" s="5"/>
    </row>
    <row r="52" spans="2:12" ht="15" thickBot="1" x14ac:dyDescent="0.4">
      <c r="B52" s="116"/>
      <c r="C52" s="40" t="s">
        <v>32</v>
      </c>
      <c r="D52" s="59">
        <f t="shared" si="1"/>
        <v>30</v>
      </c>
      <c r="E52" s="42">
        <v>3</v>
      </c>
      <c r="F52" s="42">
        <v>30</v>
      </c>
      <c r="G52" s="42">
        <v>200</v>
      </c>
      <c r="H52" s="40" t="s">
        <v>59</v>
      </c>
      <c r="I52" s="119"/>
      <c r="J52" s="125"/>
      <c r="L52" s="5"/>
    </row>
    <row r="53" spans="2:12" ht="15" thickBot="1" x14ac:dyDescent="0.4">
      <c r="B53" s="117"/>
      <c r="C53" s="40" t="s">
        <v>33</v>
      </c>
      <c r="D53" s="59">
        <f t="shared" si="1"/>
        <v>500</v>
      </c>
      <c r="E53" s="42">
        <v>30</v>
      </c>
      <c r="F53" s="42">
        <v>500</v>
      </c>
      <c r="G53" s="42">
        <v>3000</v>
      </c>
      <c r="H53" s="40" t="s">
        <v>50</v>
      </c>
      <c r="I53" s="120"/>
      <c r="J53" s="126"/>
      <c r="L53" s="5"/>
    </row>
    <row r="54" spans="2:12" ht="15" thickBot="1" x14ac:dyDescent="0.4">
      <c r="B54" s="115" t="s">
        <v>99</v>
      </c>
      <c r="C54" s="40" t="s">
        <v>32</v>
      </c>
      <c r="D54" s="59">
        <f t="shared" si="1"/>
        <v>700</v>
      </c>
      <c r="E54" s="42">
        <v>400</v>
      </c>
      <c r="F54" s="42">
        <v>700</v>
      </c>
      <c r="G54" s="42">
        <v>1000</v>
      </c>
      <c r="H54" s="40" t="s">
        <v>59</v>
      </c>
      <c r="I54" s="127" t="s">
        <v>100</v>
      </c>
      <c r="J54" s="111" t="s">
        <v>101</v>
      </c>
      <c r="L54" s="5"/>
    </row>
    <row r="55" spans="2:12" ht="15" thickBot="1" x14ac:dyDescent="0.4">
      <c r="B55" s="116"/>
      <c r="C55" s="40" t="s">
        <v>27</v>
      </c>
      <c r="D55" s="59">
        <f t="shared" si="1"/>
        <v>6000</v>
      </c>
      <c r="E55" s="42">
        <v>4000</v>
      </c>
      <c r="F55" s="42">
        <v>6000</v>
      </c>
      <c r="G55" s="42">
        <v>10000</v>
      </c>
      <c r="H55" s="40" t="s">
        <v>50</v>
      </c>
      <c r="I55" s="128"/>
      <c r="J55" s="112"/>
      <c r="L55" s="5"/>
    </row>
    <row r="56" spans="2:12" ht="15" customHeight="1" thickBot="1" x14ac:dyDescent="0.4">
      <c r="B56" s="117"/>
      <c r="C56" s="40" t="s">
        <v>29</v>
      </c>
      <c r="D56" s="59">
        <f t="shared" si="1"/>
        <v>3000</v>
      </c>
      <c r="E56" s="42">
        <v>2000</v>
      </c>
      <c r="F56" s="42">
        <v>3000</v>
      </c>
      <c r="G56" s="42">
        <v>5000</v>
      </c>
      <c r="H56" s="40" t="s">
        <v>50</v>
      </c>
      <c r="I56" s="129"/>
      <c r="J56" s="113"/>
      <c r="L56" s="5"/>
    </row>
    <row r="57" spans="2:12" ht="15" thickBot="1" x14ac:dyDescent="0.4">
      <c r="B57" s="45" t="s">
        <v>102</v>
      </c>
      <c r="C57" s="40" t="s">
        <v>30</v>
      </c>
      <c r="D57" s="59">
        <f t="shared" si="1"/>
        <v>6000</v>
      </c>
      <c r="E57" s="42">
        <v>1000</v>
      </c>
      <c r="F57" s="42">
        <v>6000</v>
      </c>
      <c r="G57" s="42">
        <v>11000</v>
      </c>
      <c r="H57" s="40" t="s">
        <v>50</v>
      </c>
      <c r="I57" s="118" t="s">
        <v>103</v>
      </c>
      <c r="J57" s="111" t="s">
        <v>104</v>
      </c>
      <c r="L57" s="5"/>
    </row>
    <row r="58" spans="2:12" ht="15" thickBot="1" x14ac:dyDescent="0.4">
      <c r="B58" s="45" t="s">
        <v>105</v>
      </c>
      <c r="C58" s="40" t="s">
        <v>30</v>
      </c>
      <c r="D58" s="59">
        <f t="shared" si="1"/>
        <v>24000</v>
      </c>
      <c r="E58" s="42">
        <v>17000</v>
      </c>
      <c r="F58" s="42">
        <v>24000</v>
      </c>
      <c r="G58" s="42">
        <v>30000</v>
      </c>
      <c r="H58" s="40" t="s">
        <v>50</v>
      </c>
      <c r="I58" s="119"/>
      <c r="J58" s="112"/>
      <c r="L58" s="5"/>
    </row>
    <row r="59" spans="2:12" ht="15" customHeight="1" thickBot="1" x14ac:dyDescent="0.4">
      <c r="B59" s="45" t="s">
        <v>106</v>
      </c>
      <c r="C59" s="40" t="s">
        <v>30</v>
      </c>
      <c r="D59" s="59">
        <f t="shared" si="1"/>
        <v>10000</v>
      </c>
      <c r="E59" s="42">
        <v>6000</v>
      </c>
      <c r="F59" s="42">
        <v>10000</v>
      </c>
      <c r="G59" s="42">
        <v>13000</v>
      </c>
      <c r="H59" s="40"/>
      <c r="I59" s="120"/>
      <c r="J59" s="113"/>
      <c r="L59" s="5"/>
    </row>
    <row r="60" spans="2:12" ht="39" x14ac:dyDescent="0.35">
      <c r="B60" s="88" t="s">
        <v>107</v>
      </c>
      <c r="C60" s="40" t="s">
        <v>32</v>
      </c>
      <c r="D60" s="59">
        <f t="shared" si="1"/>
        <v>400</v>
      </c>
      <c r="E60" s="42">
        <v>90</v>
      </c>
      <c r="F60" s="42">
        <v>400</v>
      </c>
      <c r="G60" s="42">
        <v>700</v>
      </c>
      <c r="H60" s="40" t="s">
        <v>59</v>
      </c>
      <c r="I60" s="89" t="s">
        <v>108</v>
      </c>
      <c r="J60" s="40" t="s">
        <v>109</v>
      </c>
      <c r="L60" s="5"/>
    </row>
    <row r="61" spans="2:12" ht="15" customHeight="1" thickBot="1" x14ac:dyDescent="0.4">
      <c r="B61" s="115" t="s">
        <v>110</v>
      </c>
      <c r="C61" s="40" t="s">
        <v>27</v>
      </c>
      <c r="D61" s="59" t="str">
        <f t="shared" ref="D61:D67" si="2">G61</f>
        <v>Awaiting user input…</v>
      </c>
      <c r="E61" s="42" t="str">
        <f>IFERROR(ROUND(VLOOKUP('Project Inputs &amp; Results'!$C$14,floodval,6,FALSE)*M19,-3),"Awaiting user input…")</f>
        <v>Awaiting user input…</v>
      </c>
      <c r="F61" s="41" t="str">
        <f t="shared" ref="F61:F64" si="3">IFERROR(ROUND(AVERAGE(E61,G61),-3),"Awaiting user input…")</f>
        <v>Awaiting user input…</v>
      </c>
      <c r="G61" s="41" t="str">
        <f>IFERROR(ROUND(VLOOKUP('Project Inputs &amp; Results'!$C$14,floodval,5,FALSE)*M19,-3),"Awaiting user input…")</f>
        <v>Awaiting user input…</v>
      </c>
      <c r="H61" s="40" t="s">
        <v>111</v>
      </c>
      <c r="I61" s="118" t="s">
        <v>112</v>
      </c>
      <c r="J61" s="111" t="s">
        <v>113</v>
      </c>
      <c r="L61" s="5"/>
    </row>
    <row r="62" spans="2:12" ht="26.5" customHeight="1" thickBot="1" x14ac:dyDescent="0.4">
      <c r="B62" s="116"/>
      <c r="C62" s="40" t="s">
        <v>54</v>
      </c>
      <c r="D62" s="59" t="str">
        <f t="shared" si="2"/>
        <v>Awaiting user input…</v>
      </c>
      <c r="E62" s="42" t="str">
        <f>IFERROR(ROUND(VLOOKUP('Project Inputs &amp; Results'!$C$14,floodval,6,FALSE)*M20,-3),"Awaiting user input…")</f>
        <v>Awaiting user input…</v>
      </c>
      <c r="F62" s="41" t="str">
        <f t="shared" si="3"/>
        <v>Awaiting user input…</v>
      </c>
      <c r="G62" s="41" t="str">
        <f>IFERROR(ROUND(VLOOKUP('Project Inputs &amp; Results'!$C$14,floodval,5,FALSE)*M20,-3),"Awaiting user input…")</f>
        <v>Awaiting user input…</v>
      </c>
      <c r="H62" s="40" t="s">
        <v>111</v>
      </c>
      <c r="I62" s="119"/>
      <c r="J62" s="112"/>
      <c r="L62" s="5"/>
    </row>
    <row r="63" spans="2:12" ht="26.5" thickBot="1" x14ac:dyDescent="0.4">
      <c r="B63" s="116"/>
      <c r="C63" s="40" t="s">
        <v>29</v>
      </c>
      <c r="D63" s="59" t="str">
        <f t="shared" si="2"/>
        <v>Awaiting user input…</v>
      </c>
      <c r="E63" s="42" t="str">
        <f>IFERROR(ROUND(VLOOKUP('Project Inputs &amp; Results'!$C$14,floodval,6,FALSE)*M21,-3),"Awaiting user input…")</f>
        <v>Awaiting user input…</v>
      </c>
      <c r="F63" s="41" t="str">
        <f t="shared" si="3"/>
        <v>Awaiting user input…</v>
      </c>
      <c r="G63" s="41" t="str">
        <f>IFERROR(ROUND(VLOOKUP('Project Inputs &amp; Results'!$C$14,floodval,5,FALSE)*M21,-3),"Awaiting user input…")</f>
        <v>Awaiting user input…</v>
      </c>
      <c r="H63" s="40" t="s">
        <v>111</v>
      </c>
      <c r="I63" s="119"/>
      <c r="J63" s="112"/>
      <c r="L63" s="5"/>
    </row>
    <row r="64" spans="2:12" ht="26.5" thickBot="1" x14ac:dyDescent="0.4">
      <c r="B64" s="116"/>
      <c r="C64" s="40" t="s">
        <v>30</v>
      </c>
      <c r="D64" s="59" t="str">
        <f t="shared" si="2"/>
        <v>Awaiting user input…</v>
      </c>
      <c r="E64" s="42" t="str">
        <f>IFERROR(ROUND(VLOOKUP('Project Inputs &amp; Results'!$C$14,floodval,6,FALSE)*M22,-3),"Awaiting user input…")</f>
        <v>Awaiting user input…</v>
      </c>
      <c r="F64" s="41" t="str">
        <f t="shared" si="3"/>
        <v>Awaiting user input…</v>
      </c>
      <c r="G64" s="41" t="str">
        <f>IFERROR(ROUND(VLOOKUP('Project Inputs &amp; Results'!$C$14,floodval,5,FALSE)*M22,-3),"Awaiting user input…")</f>
        <v>Awaiting user input…</v>
      </c>
      <c r="H64" s="40" t="s">
        <v>111</v>
      </c>
      <c r="I64" s="119"/>
      <c r="J64" s="112"/>
      <c r="L64" s="5"/>
    </row>
    <row r="65" spans="2:12" ht="26.5" thickBot="1" x14ac:dyDescent="0.4">
      <c r="B65" s="116"/>
      <c r="C65" s="40" t="s">
        <v>31</v>
      </c>
      <c r="D65" s="59" t="str">
        <f t="shared" si="2"/>
        <v>Awaiting user input…</v>
      </c>
      <c r="E65" s="42" t="str">
        <f>IFERROR(ROUND(VLOOKUP('Project Inputs &amp; Results'!$C$14,floodval,6,FALSE)*M23,-3),"Awaiting user input…")</f>
        <v>Awaiting user input…</v>
      </c>
      <c r="F65" s="41" t="str">
        <f>IFERROR(ROUND(AVERAGE(E65,G65),-3),"Awaiting user input…")</f>
        <v>Awaiting user input…</v>
      </c>
      <c r="G65" s="41" t="str">
        <f>IFERROR(ROUND(VLOOKUP('Project Inputs &amp; Results'!$C$14,floodval,5,FALSE)*M23,-3),"Awaiting user input…")</f>
        <v>Awaiting user input…</v>
      </c>
      <c r="H65" s="40" t="s">
        <v>111</v>
      </c>
      <c r="I65" s="119"/>
      <c r="J65" s="112"/>
      <c r="L65" s="5"/>
    </row>
    <row r="66" spans="2:12" ht="26.5" thickBot="1" x14ac:dyDescent="0.4">
      <c r="B66" s="116"/>
      <c r="C66" s="40" t="s">
        <v>32</v>
      </c>
      <c r="D66" s="59" t="str">
        <f t="shared" si="2"/>
        <v>Awaiting user input…</v>
      </c>
      <c r="E66" s="42" t="str">
        <f>IFERROR(ROUND(VLOOKUP('Project Inputs &amp; Results'!$C$14,floodval,6,FALSE)*$M$12,0),"Awaiting user input…")</f>
        <v>Awaiting user input…</v>
      </c>
      <c r="F66" s="41" t="str">
        <f>IFERROR(ROUND(AVERAGE(E66,G66),0),"Awaiting user input…")</f>
        <v>Awaiting user input…</v>
      </c>
      <c r="G66" s="41" t="str">
        <f>IFERROR(ROUND(VLOOKUP('Project Inputs &amp; Results'!$C$14,floodval,5,FALSE)*$M$12,0),"Awaiting user input…")</f>
        <v>Awaiting user input…</v>
      </c>
      <c r="H66" s="40" t="s">
        <v>59</v>
      </c>
      <c r="I66" s="119"/>
      <c r="J66" s="112"/>
      <c r="L66" s="5"/>
    </row>
    <row r="67" spans="2:12" ht="26.5" thickBot="1" x14ac:dyDescent="0.4">
      <c r="B67" s="117"/>
      <c r="C67" s="40" t="s">
        <v>33</v>
      </c>
      <c r="D67" s="59" t="str">
        <f t="shared" si="2"/>
        <v>Awaiting user input…</v>
      </c>
      <c r="E67" s="42" t="str">
        <f>IFERROR(ROUND(VLOOKUP('Project Inputs &amp; Results'!$C$14,floodval,6,FALSE)*M25,-3),"Awaiting user input…")</f>
        <v>Awaiting user input…</v>
      </c>
      <c r="F67" s="41" t="str">
        <f>IFERROR(ROUND(AVERAGE(E67,G67),-3),"Awaiting user input…")</f>
        <v>Awaiting user input…</v>
      </c>
      <c r="G67" s="41" t="str">
        <f>IFERROR(ROUND(VLOOKUP('Project Inputs &amp; Results'!$C$14,floodval,5,FALSE)*M25,-3),"Awaiting user input…")</f>
        <v>Awaiting user input…</v>
      </c>
      <c r="H67" s="40" t="s">
        <v>111</v>
      </c>
      <c r="I67" s="120"/>
      <c r="J67" s="113"/>
    </row>
    <row r="69" spans="2:12" ht="44.15" customHeight="1" x14ac:dyDescent="0.35">
      <c r="B69" s="109" t="s">
        <v>114</v>
      </c>
      <c r="C69" s="109"/>
      <c r="D69" s="109"/>
      <c r="E69" s="109"/>
      <c r="F69" s="109"/>
      <c r="G69" s="109"/>
      <c r="H69" s="109"/>
      <c r="I69" s="109"/>
    </row>
    <row r="70" spans="2:12" ht="116.5" customHeight="1" x14ac:dyDescent="0.35">
      <c r="B70" s="109" t="s">
        <v>115</v>
      </c>
      <c r="C70" s="109"/>
      <c r="D70" s="109"/>
      <c r="E70" s="109"/>
      <c r="F70" s="109"/>
      <c r="G70" s="109"/>
      <c r="H70" s="109"/>
      <c r="I70" s="109"/>
    </row>
    <row r="71" spans="2:12" x14ac:dyDescent="0.35">
      <c r="B71" s="109" t="s">
        <v>116</v>
      </c>
      <c r="C71" s="109"/>
      <c r="D71" s="109"/>
      <c r="E71" s="109"/>
      <c r="F71" s="109"/>
      <c r="G71" s="109"/>
      <c r="H71" s="109"/>
      <c r="I71" s="109"/>
    </row>
    <row r="72" spans="2:12" ht="33" customHeight="1" x14ac:dyDescent="0.35">
      <c r="B72" s="109" t="s">
        <v>117</v>
      </c>
      <c r="C72" s="109"/>
      <c r="D72" s="109"/>
      <c r="E72" s="109"/>
      <c r="F72" s="109"/>
      <c r="G72" s="109"/>
      <c r="H72" s="109"/>
      <c r="I72" s="109"/>
    </row>
    <row r="73" spans="2:12" ht="45" customHeight="1" x14ac:dyDescent="0.35">
      <c r="B73" s="109" t="s">
        <v>118</v>
      </c>
      <c r="C73" s="109"/>
      <c r="D73" s="109"/>
      <c r="E73" s="109"/>
      <c r="F73" s="109"/>
      <c r="G73" s="109"/>
      <c r="H73" s="109"/>
      <c r="I73" s="109"/>
    </row>
    <row r="74" spans="2:12" ht="16.5" customHeight="1" x14ac:dyDescent="0.35">
      <c r="B74" s="109" t="s">
        <v>119</v>
      </c>
      <c r="C74" s="109"/>
      <c r="D74" s="109"/>
      <c r="E74" s="109"/>
      <c r="F74" s="109"/>
      <c r="G74" s="109"/>
      <c r="H74" s="109"/>
      <c r="I74" s="109"/>
    </row>
    <row r="75" spans="2:12" x14ac:dyDescent="0.35">
      <c r="B75" s="109" t="s">
        <v>120</v>
      </c>
      <c r="C75" s="109"/>
      <c r="D75" s="109"/>
      <c r="E75" s="109"/>
      <c r="F75" s="109"/>
      <c r="G75" s="109"/>
      <c r="H75" s="109"/>
      <c r="I75" s="109"/>
    </row>
    <row r="76" spans="2:12" x14ac:dyDescent="0.35">
      <c r="B76" s="109" t="s">
        <v>121</v>
      </c>
      <c r="C76" s="109"/>
      <c r="D76" s="109"/>
      <c r="E76" s="109"/>
      <c r="F76" s="109"/>
      <c r="G76" s="109"/>
      <c r="H76" s="109"/>
      <c r="I76" s="109"/>
    </row>
    <row r="77" spans="2:12" x14ac:dyDescent="0.35">
      <c r="B77" s="109" t="s">
        <v>122</v>
      </c>
      <c r="C77" s="109"/>
      <c r="D77" s="109"/>
      <c r="E77" s="109"/>
      <c r="F77" s="109"/>
      <c r="G77" s="109"/>
      <c r="H77" s="109"/>
      <c r="I77" s="109"/>
    </row>
  </sheetData>
  <mergeCells count="35">
    <mergeCell ref="B75:I75"/>
    <mergeCell ref="B76:I76"/>
    <mergeCell ref="B77:I77"/>
    <mergeCell ref="B70:I70"/>
    <mergeCell ref="B71:I71"/>
    <mergeCell ref="B72:I72"/>
    <mergeCell ref="B73:I73"/>
    <mergeCell ref="B74:I74"/>
    <mergeCell ref="J57:J59"/>
    <mergeCell ref="I57:I59"/>
    <mergeCell ref="B54:B56"/>
    <mergeCell ref="I54:I56"/>
    <mergeCell ref="B69:I69"/>
    <mergeCell ref="B61:B67"/>
    <mergeCell ref="I61:I67"/>
    <mergeCell ref="J61:J67"/>
    <mergeCell ref="B38:B44"/>
    <mergeCell ref="I38:I44"/>
    <mergeCell ref="I45:I46"/>
    <mergeCell ref="I47:I53"/>
    <mergeCell ref="J54:J56"/>
    <mergeCell ref="B45:B46"/>
    <mergeCell ref="J38:J44"/>
    <mergeCell ref="J45:J46"/>
    <mergeCell ref="B47:B53"/>
    <mergeCell ref="J47:J53"/>
    <mergeCell ref="J10:J16"/>
    <mergeCell ref="J17:J37"/>
    <mergeCell ref="B4:J4"/>
    <mergeCell ref="B10:B16"/>
    <mergeCell ref="B17:B23"/>
    <mergeCell ref="B24:B30"/>
    <mergeCell ref="B31:B37"/>
    <mergeCell ref="I10:I16"/>
    <mergeCell ref="I17:I37"/>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D3420-930F-49DD-9F7D-3920E725376C}">
  <dimension ref="B2:Q16"/>
  <sheetViews>
    <sheetView workbookViewId="0">
      <selection activeCell="E8" sqref="E8"/>
    </sheetView>
  </sheetViews>
  <sheetFormatPr defaultRowHeight="14.5" x14ac:dyDescent="0.35"/>
  <cols>
    <col min="3" max="3" width="10.7265625" customWidth="1"/>
    <col min="4" max="4" width="11.1796875" customWidth="1"/>
    <col min="5" max="5" width="10.54296875" customWidth="1"/>
    <col min="6" max="6" width="11.1796875" customWidth="1"/>
    <col min="7" max="7" width="10.54296875" customWidth="1"/>
    <col min="9" max="9" width="59.453125" customWidth="1"/>
    <col min="10" max="10" width="22.54296875" customWidth="1"/>
    <col min="13" max="17" width="9.81640625" bestFit="1" customWidth="1"/>
  </cols>
  <sheetData>
    <row r="2" spans="2:17" ht="23.5" x14ac:dyDescent="0.55000000000000004">
      <c r="B2" s="57" t="s">
        <v>123</v>
      </c>
    </row>
    <row r="3" spans="2:17" ht="23.5" x14ac:dyDescent="0.55000000000000004">
      <c r="B3" s="57"/>
    </row>
    <row r="4" spans="2:17" ht="28" customHeight="1" x14ac:dyDescent="0.35">
      <c r="B4" s="133" t="s">
        <v>124</v>
      </c>
      <c r="C4" s="133"/>
      <c r="D4" s="133"/>
      <c r="E4" s="133"/>
      <c r="F4" s="133"/>
      <c r="G4" s="133"/>
      <c r="H4" s="133"/>
      <c r="I4" s="133"/>
      <c r="J4" s="133"/>
      <c r="K4" s="90"/>
      <c r="L4" s="90"/>
      <c r="M4" s="90"/>
      <c r="N4" s="90"/>
      <c r="O4" s="90"/>
      <c r="P4" s="90"/>
      <c r="Q4" s="90"/>
    </row>
    <row r="6" spans="2:17" ht="15" thickBot="1" x14ac:dyDescent="0.4">
      <c r="B6" s="3" t="s">
        <v>125</v>
      </c>
    </row>
    <row r="7" spans="2:17" ht="26.15" customHeight="1" x14ac:dyDescent="0.35">
      <c r="B7" s="38" t="s">
        <v>126</v>
      </c>
      <c r="C7" s="39" t="s">
        <v>40</v>
      </c>
      <c r="D7" s="39" t="s">
        <v>127</v>
      </c>
      <c r="E7" s="39" t="s">
        <v>128</v>
      </c>
      <c r="F7" s="39" t="s">
        <v>129</v>
      </c>
      <c r="G7" s="39" t="s">
        <v>130</v>
      </c>
      <c r="H7" s="39" t="s">
        <v>45</v>
      </c>
      <c r="I7" s="49" t="s">
        <v>46</v>
      </c>
      <c r="J7" s="49" t="s">
        <v>47</v>
      </c>
    </row>
    <row r="8" spans="2:17" ht="14.5" customHeight="1" x14ac:dyDescent="0.35">
      <c r="B8" s="115" t="s">
        <v>131</v>
      </c>
      <c r="C8" s="40" t="s">
        <v>27</v>
      </c>
      <c r="D8" s="59">
        <f t="shared" ref="D8:D14" si="0">F8</f>
        <v>2681000</v>
      </c>
      <c r="E8" s="42">
        <v>1740000</v>
      </c>
      <c r="F8" s="42">
        <v>2681000</v>
      </c>
      <c r="G8" s="42">
        <v>3756000</v>
      </c>
      <c r="H8" s="48" t="s">
        <v>50</v>
      </c>
      <c r="I8" s="130" t="s">
        <v>132</v>
      </c>
      <c r="J8" s="111" t="s">
        <v>133</v>
      </c>
    </row>
    <row r="9" spans="2:17" ht="39" x14ac:dyDescent="0.35">
      <c r="B9" s="116"/>
      <c r="C9" s="46" t="s">
        <v>54</v>
      </c>
      <c r="D9" s="59">
        <f t="shared" si="0"/>
        <v>2364000</v>
      </c>
      <c r="E9" s="42">
        <v>1553000</v>
      </c>
      <c r="F9" s="42">
        <v>2364000</v>
      </c>
      <c r="G9" s="42">
        <v>3174000</v>
      </c>
      <c r="H9" s="48" t="s">
        <v>50</v>
      </c>
      <c r="I9" s="131"/>
      <c r="J9" s="112"/>
    </row>
    <row r="10" spans="2:17" ht="26" x14ac:dyDescent="0.35">
      <c r="B10" s="116"/>
      <c r="C10" s="40" t="s">
        <v>29</v>
      </c>
      <c r="D10" s="59">
        <f t="shared" si="0"/>
        <v>1256000</v>
      </c>
      <c r="E10" s="42">
        <v>188000</v>
      </c>
      <c r="F10" s="42">
        <v>1256000</v>
      </c>
      <c r="G10" s="42">
        <v>1517000</v>
      </c>
      <c r="H10" s="48" t="s">
        <v>50</v>
      </c>
      <c r="I10" s="131"/>
      <c r="J10" s="112"/>
    </row>
    <row r="11" spans="2:17" x14ac:dyDescent="0.35">
      <c r="B11" s="116"/>
      <c r="C11" s="40" t="s">
        <v>30</v>
      </c>
      <c r="D11" s="59">
        <f t="shared" si="0"/>
        <v>20000</v>
      </c>
      <c r="E11" s="42">
        <v>0</v>
      </c>
      <c r="F11" s="42">
        <v>20000</v>
      </c>
      <c r="G11" s="42">
        <v>20000</v>
      </c>
      <c r="H11" s="48" t="s">
        <v>50</v>
      </c>
      <c r="I11" s="131"/>
      <c r="J11" s="112"/>
    </row>
    <row r="12" spans="2:17" ht="26" x14ac:dyDescent="0.35">
      <c r="B12" s="116"/>
      <c r="C12" s="40" t="s">
        <v>31</v>
      </c>
      <c r="D12" s="59">
        <f t="shared" si="0"/>
        <v>2865000</v>
      </c>
      <c r="E12" s="42">
        <v>1097000</v>
      </c>
      <c r="F12" s="42">
        <v>2865000</v>
      </c>
      <c r="G12" s="42">
        <v>16008000</v>
      </c>
      <c r="H12" s="48" t="s">
        <v>50</v>
      </c>
      <c r="I12" s="131"/>
      <c r="J12" s="112"/>
    </row>
    <row r="13" spans="2:17" x14ac:dyDescent="0.35">
      <c r="B13" s="116"/>
      <c r="C13" s="40" t="s">
        <v>32</v>
      </c>
      <c r="D13" s="59">
        <f t="shared" si="0"/>
        <v>2000</v>
      </c>
      <c r="E13" s="42">
        <v>1000</v>
      </c>
      <c r="F13" s="42">
        <v>2000</v>
      </c>
      <c r="G13" s="42">
        <v>2000</v>
      </c>
      <c r="H13" s="48" t="s">
        <v>134</v>
      </c>
      <c r="I13" s="131"/>
      <c r="J13" s="112"/>
    </row>
    <row r="14" spans="2:17" x14ac:dyDescent="0.35">
      <c r="B14" s="117"/>
      <c r="C14" s="40" t="s">
        <v>33</v>
      </c>
      <c r="D14" s="59">
        <f t="shared" si="0"/>
        <v>2522000</v>
      </c>
      <c r="E14" s="42">
        <v>1593000</v>
      </c>
      <c r="F14" s="42">
        <v>2522000</v>
      </c>
      <c r="G14" s="42">
        <v>3388000</v>
      </c>
      <c r="H14" s="48" t="s">
        <v>50</v>
      </c>
      <c r="I14" s="132"/>
      <c r="J14" s="113"/>
    </row>
    <row r="16" spans="2:17" ht="32.15" customHeight="1" x14ac:dyDescent="0.35">
      <c r="B16" s="109" t="s">
        <v>135</v>
      </c>
      <c r="C16" s="109"/>
      <c r="D16" s="109"/>
      <c r="E16" s="109"/>
      <c r="F16" s="109"/>
      <c r="G16" s="109"/>
      <c r="H16" s="109"/>
      <c r="I16" s="109"/>
      <c r="J16" s="109"/>
    </row>
  </sheetData>
  <mergeCells count="5">
    <mergeCell ref="B8:B14"/>
    <mergeCell ref="I8:I14"/>
    <mergeCell ref="J8:J14"/>
    <mergeCell ref="B4:J4"/>
    <mergeCell ref="B16:J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00928-5B6F-4891-A6EF-D0BD89C6AD09}">
  <dimension ref="B2:U28"/>
  <sheetViews>
    <sheetView workbookViewId="0">
      <selection activeCell="C24" sqref="C24"/>
    </sheetView>
  </sheetViews>
  <sheetFormatPr defaultRowHeight="14.5" x14ac:dyDescent="0.35"/>
  <cols>
    <col min="3" max="3" width="13" customWidth="1"/>
    <col min="4" max="4" width="12.453125" customWidth="1"/>
    <col min="9" max="9" width="10.81640625" bestFit="1" customWidth="1"/>
    <col min="10" max="10" width="10.1796875" customWidth="1"/>
    <col min="11" max="11" width="11.54296875" customWidth="1"/>
    <col min="12" max="12" width="14.54296875" customWidth="1"/>
    <col min="19" max="19" width="19.26953125" customWidth="1"/>
  </cols>
  <sheetData>
    <row r="2" spans="2:21" ht="15" thickBot="1" x14ac:dyDescent="0.4">
      <c r="B2" s="3" t="s">
        <v>136</v>
      </c>
      <c r="I2" s="3"/>
      <c r="J2" s="3"/>
      <c r="K2" s="3"/>
      <c r="L2" s="3"/>
      <c r="M2" s="3"/>
      <c r="O2" s="3" t="s">
        <v>137</v>
      </c>
    </row>
    <row r="3" spans="2:21" x14ac:dyDescent="0.35">
      <c r="B3" s="15" t="s">
        <v>15</v>
      </c>
      <c r="C3" s="16" t="s">
        <v>16</v>
      </c>
      <c r="D3" s="16" t="s">
        <v>17</v>
      </c>
      <c r="E3" s="16" t="s">
        <v>18</v>
      </c>
      <c r="F3" s="16" t="s">
        <v>138</v>
      </c>
      <c r="G3" s="16" t="s">
        <v>20</v>
      </c>
      <c r="H3" s="16" t="s">
        <v>21</v>
      </c>
      <c r="I3" s="16" t="s">
        <v>139</v>
      </c>
      <c r="J3" s="16" t="s">
        <v>140</v>
      </c>
      <c r="K3" s="16" t="s">
        <v>24</v>
      </c>
      <c r="L3" s="16" t="s">
        <v>25</v>
      </c>
      <c r="M3" s="17" t="s">
        <v>141</v>
      </c>
      <c r="O3" s="15" t="s">
        <v>11</v>
      </c>
      <c r="P3" s="16" t="s">
        <v>142</v>
      </c>
      <c r="Q3" s="16" t="s">
        <v>143</v>
      </c>
      <c r="R3" s="16" t="s">
        <v>144</v>
      </c>
      <c r="S3" s="16" t="s">
        <v>145</v>
      </c>
      <c r="T3" s="17" t="s">
        <v>146</v>
      </c>
      <c r="U3" s="54" t="s">
        <v>147</v>
      </c>
    </row>
    <row r="4" spans="2:21" x14ac:dyDescent="0.35">
      <c r="B4" s="22" t="s">
        <v>27</v>
      </c>
      <c r="C4" s="9" t="e">
        <f>Benefits!D61*adj*'Project Inputs &amp; Results'!C17</f>
        <v>#VALUE!</v>
      </c>
      <c r="D4" s="9">
        <f>Benefits!D10*adj*'Project Inputs &amp; Results'!C17</f>
        <v>0</v>
      </c>
      <c r="E4" s="9">
        <f>0</f>
        <v>0</v>
      </c>
      <c r="F4" s="9">
        <f>Benefits!D47*adj*'Project Inputs &amp; Results'!C17</f>
        <v>0</v>
      </c>
      <c r="G4" s="9">
        <v>0</v>
      </c>
      <c r="H4" s="9">
        <v>0</v>
      </c>
      <c r="I4" s="9">
        <f>Benefits!D38*adj</f>
        <v>0</v>
      </c>
      <c r="J4" s="9">
        <f>SUM(Benefits!D10,Benefits!D17,Benefits!D24)*adj*'Project Inputs &amp; Results'!C17</f>
        <v>0</v>
      </c>
      <c r="K4" s="9" t="e">
        <f t="shared" ref="K4:K10" si="0">SUM(C4:J4)</f>
        <v>#VALUE!</v>
      </c>
      <c r="L4" s="9">
        <f>(Costs!D8+(IF('Project Inputs &amp; Results'!C11="Yes",INDEX(landcost,MATCH('Project Inputs &amp; Results'!$C$15,Results!$O$4:$O$10,0),MATCH('Project Inputs &amp; Results'!$C$12,Results!$P$3:$U$3,0)),0)))*adj*'Project Inputs &amp; Results'!$C$17</f>
        <v>0</v>
      </c>
      <c r="M4" s="55" t="e">
        <f t="shared" ref="M4:M10" si="1">K4/L4</f>
        <v>#VALUE!</v>
      </c>
      <c r="O4" s="22" t="s">
        <v>148</v>
      </c>
      <c r="P4" s="9">
        <v>24000</v>
      </c>
      <c r="Q4" s="9">
        <v>18000</v>
      </c>
      <c r="R4" s="9">
        <v>12000</v>
      </c>
      <c r="S4" s="9">
        <v>9000</v>
      </c>
      <c r="T4" s="50">
        <v>20000</v>
      </c>
      <c r="U4">
        <f>'Project Inputs &amp; Results'!$C$13</f>
        <v>0</v>
      </c>
    </row>
    <row r="5" spans="2:21" x14ac:dyDescent="0.35">
      <c r="B5" s="22" t="s">
        <v>54</v>
      </c>
      <c r="C5" s="9" t="e">
        <f>Benefits!D62*adj*'Project Inputs &amp; Results'!C17</f>
        <v>#VALUE!</v>
      </c>
      <c r="D5" s="9">
        <f>Benefits!D11*adj*'Project Inputs &amp; Results'!C17</f>
        <v>0</v>
      </c>
      <c r="E5" s="9">
        <f>0</f>
        <v>0</v>
      </c>
      <c r="F5" s="9">
        <f>Benefits!D48*adj*'Project Inputs &amp; Results'!C17</f>
        <v>0</v>
      </c>
      <c r="G5" s="9">
        <v>0</v>
      </c>
      <c r="H5" s="9">
        <v>0</v>
      </c>
      <c r="I5" s="9">
        <f>Benefits!D39*adj</f>
        <v>0</v>
      </c>
      <c r="J5" s="9">
        <f>SUM(Benefits!D11,Benefits!D18,Benefits!D25)*adj*'Project Inputs &amp; Results'!C17</f>
        <v>0</v>
      </c>
      <c r="K5" s="9" t="e">
        <f t="shared" si="0"/>
        <v>#VALUE!</v>
      </c>
      <c r="L5" s="9">
        <f>(Costs!D9+(IF('Project Inputs &amp; Results'!C11="Yes",INDEX(landcost,MATCH('Project Inputs &amp; Results'!$C$15,Results!$O$4:$O$10,0),MATCH('Project Inputs &amp; Results'!$C$12,Results!$P$3:$U$3,0)),0)))*adj*'Project Inputs &amp; Results'!$C$17</f>
        <v>0</v>
      </c>
      <c r="M5" s="55" t="e">
        <f t="shared" si="1"/>
        <v>#VALUE!</v>
      </c>
      <c r="O5" s="22" t="s">
        <v>149</v>
      </c>
      <c r="P5" s="9">
        <v>22000</v>
      </c>
      <c r="Q5" s="9">
        <v>27000</v>
      </c>
      <c r="R5" s="9">
        <v>77000</v>
      </c>
      <c r="S5" s="9">
        <v>35000</v>
      </c>
      <c r="T5" s="50">
        <v>26000</v>
      </c>
      <c r="U5">
        <f>'Project Inputs &amp; Results'!$C$13</f>
        <v>0</v>
      </c>
    </row>
    <row r="6" spans="2:21" x14ac:dyDescent="0.35">
      <c r="B6" s="22" t="s">
        <v>29</v>
      </c>
      <c r="C6" s="9" t="e">
        <f>Benefits!D63*adj*'Project Inputs &amp; Results'!C17</f>
        <v>#VALUE!</v>
      </c>
      <c r="D6" s="9">
        <f>Benefits!D12*adj*'Project Inputs &amp; Results'!C17</f>
        <v>0</v>
      </c>
      <c r="E6" s="9">
        <f>0</f>
        <v>0</v>
      </c>
      <c r="F6" s="9">
        <f>Benefits!D49*adj*'Project Inputs &amp; Results'!C17</f>
        <v>0</v>
      </c>
      <c r="G6" s="9">
        <v>0</v>
      </c>
      <c r="H6" s="9">
        <v>0</v>
      </c>
      <c r="I6" s="9">
        <f>Benefits!D40*adj</f>
        <v>0</v>
      </c>
      <c r="J6" s="9">
        <f>SUM(Benefits!D12,Benefits!D19,Benefits!D26)*adj*'Project Inputs &amp; Results'!C17</f>
        <v>0</v>
      </c>
      <c r="K6" s="9" t="e">
        <f t="shared" si="0"/>
        <v>#VALUE!</v>
      </c>
      <c r="L6" s="9">
        <f>(Costs!D10+(IF('Project Inputs &amp; Results'!C11="Yes",INDEX(landcost,MATCH('Project Inputs &amp; Results'!$C$15,Results!$O$4:$O$10,0),MATCH('Project Inputs &amp; Results'!$C$12,Results!$P$3:$U$3,0)),0)))*adj*'Project Inputs &amp; Results'!$C$17</f>
        <v>0</v>
      </c>
      <c r="M6" s="55" t="e">
        <f t="shared" si="1"/>
        <v>#VALUE!</v>
      </c>
      <c r="O6" s="22" t="s">
        <v>150</v>
      </c>
      <c r="P6" s="9">
        <v>9000</v>
      </c>
      <c r="Q6" s="9">
        <v>8000</v>
      </c>
      <c r="R6" s="9">
        <v>11000</v>
      </c>
      <c r="S6" s="9">
        <v>7000</v>
      </c>
      <c r="T6" s="50">
        <v>9000</v>
      </c>
      <c r="U6">
        <f>'Project Inputs &amp; Results'!$C$13</f>
        <v>0</v>
      </c>
    </row>
    <row r="7" spans="2:21" x14ac:dyDescent="0.35">
      <c r="B7" s="22" t="s">
        <v>30</v>
      </c>
      <c r="C7" s="9" t="e">
        <f>Benefits!D64*adj*'Project Inputs &amp; Results'!C17</f>
        <v>#VALUE!</v>
      </c>
      <c r="D7" s="9">
        <f>Benefits!D13*adj*'Project Inputs &amp; Results'!C17</f>
        <v>0</v>
      </c>
      <c r="E7" s="9">
        <f>0</f>
        <v>0</v>
      </c>
      <c r="F7" s="9">
        <f>IF('Project Inputs &amp; Results'!C10="Forest",Benefits!D52*O14,Benefits!D50)*adj*'Project Inputs &amp; Results'!C17</f>
        <v>0</v>
      </c>
      <c r="G7" s="9">
        <f>IF('Project Inputs &amp; Results'!$C$10="Forest",Benefits!D57,IF('Project Inputs &amp; Results'!$C$10="Wetland/Riparian",Benefits!D58,IF('Project Inputs &amp; Results'!$C$10="Prairie",Benefits!D59,0)))*adj*'Project Inputs &amp; Results'!C17</f>
        <v>0</v>
      </c>
      <c r="H7" s="9">
        <v>0</v>
      </c>
      <c r="I7" s="9">
        <f>Benefits!D41*adj</f>
        <v>0</v>
      </c>
      <c r="J7" s="9">
        <f>SUM(Benefits!D13,Benefits!D20,Benefits!D27)*adj*'Project Inputs &amp; Results'!C17</f>
        <v>0</v>
      </c>
      <c r="K7" s="9" t="e">
        <f t="shared" si="0"/>
        <v>#VALUE!</v>
      </c>
      <c r="L7" s="9">
        <f>(Costs!D11+(IF('Project Inputs &amp; Results'!C11="Yes",INDEX(landcost,MATCH('Project Inputs &amp; Results'!$C$15,Results!$O$4:$O$10,0),MATCH('Project Inputs &amp; Results'!$C$12,Results!$P$3:$U$3,0)),0)))*adj*'Project Inputs &amp; Results'!$C$17</f>
        <v>0</v>
      </c>
      <c r="M7" s="55" t="e">
        <f t="shared" si="1"/>
        <v>#VALUE!</v>
      </c>
      <c r="O7" s="22" t="s">
        <v>151</v>
      </c>
      <c r="P7" s="9">
        <v>8000</v>
      </c>
      <c r="Q7" s="9">
        <v>6000</v>
      </c>
      <c r="R7" s="9">
        <v>18000</v>
      </c>
      <c r="S7" s="9">
        <v>8000</v>
      </c>
      <c r="T7" s="50">
        <v>6000</v>
      </c>
      <c r="U7">
        <f>'Project Inputs &amp; Results'!$C$13</f>
        <v>0</v>
      </c>
    </row>
    <row r="8" spans="2:21" x14ac:dyDescent="0.35">
      <c r="B8" s="22" t="s">
        <v>31</v>
      </c>
      <c r="C8" s="9" t="e">
        <f>Benefits!D65*adj*'Project Inputs &amp; Results'!C17</f>
        <v>#VALUE!</v>
      </c>
      <c r="D8" s="9">
        <f>Benefits!D14*adj*'Project Inputs &amp; Results'!C17</f>
        <v>0</v>
      </c>
      <c r="E8" s="9">
        <f>0</f>
        <v>0</v>
      </c>
      <c r="F8" s="9">
        <f>Benefits!D51*adj*'Project Inputs &amp; Results'!C17</f>
        <v>0</v>
      </c>
      <c r="G8" s="9">
        <v>0</v>
      </c>
      <c r="H8" s="9">
        <v>0</v>
      </c>
      <c r="I8" s="9">
        <f>Benefits!D42*adj</f>
        <v>0</v>
      </c>
      <c r="J8" s="9">
        <f>SUM(Benefits!D14,Benefits!D21,Benefits!D28)*adj*'Project Inputs &amp; Results'!C17</f>
        <v>0</v>
      </c>
      <c r="K8" s="9" t="e">
        <f t="shared" si="0"/>
        <v>#VALUE!</v>
      </c>
      <c r="L8" s="9">
        <f>(Costs!D12+(IF('Project Inputs &amp; Results'!C11="Yes",INDEX(landcost,MATCH('Project Inputs &amp; Results'!$C$15,Results!$O$4:$O$10,0),MATCH('Project Inputs &amp; Results'!$C$12,Results!$P$3:$U$3,0)),0)))*adj*'Project Inputs &amp; Results'!$C$17</f>
        <v>0</v>
      </c>
      <c r="M8" s="55" t="e">
        <f t="shared" si="1"/>
        <v>#VALUE!</v>
      </c>
      <c r="O8" s="22" t="s">
        <v>152</v>
      </c>
      <c r="P8" s="9">
        <v>15000</v>
      </c>
      <c r="Q8" s="9">
        <v>15000</v>
      </c>
      <c r="R8" s="9">
        <v>20000</v>
      </c>
      <c r="S8" s="9">
        <v>12000</v>
      </c>
      <c r="T8" s="50">
        <v>15000</v>
      </c>
      <c r="U8">
        <f>'Project Inputs &amp; Results'!$C$13</f>
        <v>0</v>
      </c>
    </row>
    <row r="9" spans="2:21" x14ac:dyDescent="0.35">
      <c r="B9" s="22" t="s">
        <v>32</v>
      </c>
      <c r="C9" s="9" t="e">
        <f>Benefits!D66*adj*'Project Inputs &amp; Results'!$C$25</f>
        <v>#VALUE!</v>
      </c>
      <c r="D9" s="9">
        <f>Benefits!D15*adj*'Project Inputs &amp; Results'!$C$25</f>
        <v>0</v>
      </c>
      <c r="E9" s="9">
        <f>Benefits!D45*adj*'Project Inputs &amp; Results'!$C$25</f>
        <v>0</v>
      </c>
      <c r="F9" s="9">
        <f>Benefits!D52*adj*'Project Inputs &amp; Results'!$C$25</f>
        <v>0</v>
      </c>
      <c r="G9" s="9">
        <v>0</v>
      </c>
      <c r="H9" s="9">
        <f>Benefits!D60*adj*'Project Inputs &amp; Results'!$C$25</f>
        <v>0</v>
      </c>
      <c r="I9" s="9">
        <f>Benefits!D43*adj*'Project Inputs &amp; Results'!$C$25</f>
        <v>0</v>
      </c>
      <c r="J9" s="9">
        <f>SUM(Benefits!D15,Benefits!D22,Benefits!D29)*adj*'Project Inputs &amp; Results'!$C$25</f>
        <v>0</v>
      </c>
      <c r="K9" s="9" t="e">
        <f t="shared" si="0"/>
        <v>#VALUE!</v>
      </c>
      <c r="L9" s="9">
        <f>(Costs!D13+(IF('Project Inputs &amp; Results'!C11="Yes",INDEX(landcost,MATCH('Project Inputs &amp; Results'!$C$15,Results!$O$4:$O$10,0),MATCH('Project Inputs &amp; Results'!$C$12,Results!$P$3:$U$3,0)),0)))*adj*'Project Inputs &amp; Results'!$C$25</f>
        <v>0</v>
      </c>
      <c r="M9" s="55" t="e">
        <f t="shared" si="1"/>
        <v>#VALUE!</v>
      </c>
      <c r="O9" s="22" t="s">
        <v>153</v>
      </c>
      <c r="P9" s="9">
        <v>22000</v>
      </c>
      <c r="Q9" s="9">
        <v>15000</v>
      </c>
      <c r="R9" s="9">
        <v>75000</v>
      </c>
      <c r="S9" s="9">
        <v>18000</v>
      </c>
      <c r="T9" s="50">
        <v>16000</v>
      </c>
      <c r="U9">
        <f>'Project Inputs &amp; Results'!$C$13</f>
        <v>0</v>
      </c>
    </row>
    <row r="10" spans="2:21" x14ac:dyDescent="0.35">
      <c r="B10" s="51" t="s">
        <v>33</v>
      </c>
      <c r="C10" s="52" t="e">
        <f>Benefits!D67*adj*'Project Inputs &amp; Results'!C17</f>
        <v>#VALUE!</v>
      </c>
      <c r="D10" s="52">
        <f>Benefits!D16*adj*'Project Inputs &amp; Results'!C17</f>
        <v>0</v>
      </c>
      <c r="E10" s="52">
        <f>Benefits!D46*adj*'Project Inputs &amp; Results'!C17</f>
        <v>0</v>
      </c>
      <c r="F10" s="52">
        <f>Benefits!D53*adj*'Project Inputs &amp; Results'!C17</f>
        <v>0</v>
      </c>
      <c r="G10" s="52">
        <v>0</v>
      </c>
      <c r="H10" s="52">
        <v>0</v>
      </c>
      <c r="I10" s="52">
        <f>Benefits!D44*adj</f>
        <v>0</v>
      </c>
      <c r="J10" s="52">
        <f>SUM(Benefits!D16,Benefits!D23,Benefits!D30)*adj*'Project Inputs &amp; Results'!C17</f>
        <v>0</v>
      </c>
      <c r="K10" s="52" t="e">
        <f t="shared" si="0"/>
        <v>#VALUE!</v>
      </c>
      <c r="L10" s="9">
        <f>(Costs!D14+(IF('Project Inputs &amp; Results'!C11="Yes",INDEX(landcost,MATCH('Project Inputs &amp; Results'!$C$15,Results!$O$4:$O$10,0),MATCH('Project Inputs &amp; Results'!$C$12,Results!$P$3:$U$3,0)),0)))*adj*'Project Inputs &amp; Results'!$C$17</f>
        <v>0</v>
      </c>
      <c r="M10" s="56" t="e">
        <f t="shared" si="1"/>
        <v>#VALUE!</v>
      </c>
      <c r="O10" s="51" t="s">
        <v>154</v>
      </c>
      <c r="P10" s="52">
        <v>8000</v>
      </c>
      <c r="Q10" s="52">
        <v>10000</v>
      </c>
      <c r="R10" s="52">
        <v>5000</v>
      </c>
      <c r="S10" s="52">
        <v>9000</v>
      </c>
      <c r="T10" s="53">
        <v>10000</v>
      </c>
      <c r="U10">
        <f>'Project Inputs &amp; Results'!$C$13</f>
        <v>0</v>
      </c>
    </row>
    <row r="12" spans="2:21" x14ac:dyDescent="0.35">
      <c r="B12" s="3" t="s">
        <v>155</v>
      </c>
    </row>
    <row r="13" spans="2:21" x14ac:dyDescent="0.35">
      <c r="B13" s="15" t="s">
        <v>15</v>
      </c>
      <c r="C13" s="16" t="str">
        <f t="shared" ref="C13:M13" si="2">C3</f>
        <v>Avoided Downstream Flood Damages</v>
      </c>
      <c r="D13" s="16" t="str">
        <f t="shared" si="2"/>
        <v>Avoided Stormwater Management Costs</v>
      </c>
      <c r="E13" s="16" t="str">
        <f t="shared" si="2"/>
        <v>Energy Use</v>
      </c>
      <c r="F13" s="16" t="str">
        <f t="shared" si="2"/>
        <v>Air Quality (Local)</v>
      </c>
      <c r="G13" s="16" t="str">
        <f t="shared" si="2"/>
        <v>Habitat</v>
      </c>
      <c r="H13" s="16" t="str">
        <f t="shared" si="2"/>
        <v>Reduced Pavement Maintenance</v>
      </c>
      <c r="I13" s="16" t="str">
        <f t="shared" si="2"/>
        <v>Aesthetics and Recreation</v>
      </c>
      <c r="J13" s="16" t="str">
        <f t="shared" si="2"/>
        <v>Water Quality (TSS)</v>
      </c>
      <c r="K13" s="16" t="str">
        <f t="shared" si="2"/>
        <v>Total Lifecycle Benefits</v>
      </c>
      <c r="L13" s="16" t="str">
        <f t="shared" si="2"/>
        <v>Total Lifecycle Costs</v>
      </c>
      <c r="M13" s="17" t="str">
        <f t="shared" si="2"/>
        <v>BC Ratio</v>
      </c>
      <c r="O13" s="3" t="s">
        <v>156</v>
      </c>
    </row>
    <row r="14" spans="2:21" x14ac:dyDescent="0.35">
      <c r="B14" s="22" t="str">
        <f t="shared" ref="B14:B20" si="3">B4</f>
        <v>Bioretention</v>
      </c>
      <c r="C14" s="6" t="e">
        <f>C4/Benefits!$M$13</f>
        <v>#VALUE!</v>
      </c>
      <c r="D14" s="6">
        <f>D4/Benefits!$M$13</f>
        <v>0</v>
      </c>
      <c r="E14" s="6">
        <f>E4/Benefits!$M$13</f>
        <v>0</v>
      </c>
      <c r="F14" s="6">
        <f>F4/Benefits!$M$13</f>
        <v>0</v>
      </c>
      <c r="G14" s="6">
        <f>G4/Benefits!$M$13</f>
        <v>0</v>
      </c>
      <c r="H14" s="6">
        <f>H4/Benefits!$M$13</f>
        <v>0</v>
      </c>
      <c r="I14" s="6">
        <f>I4</f>
        <v>0</v>
      </c>
      <c r="J14" s="6">
        <f>J4/Benefits!$M$13</f>
        <v>0</v>
      </c>
      <c r="K14" s="6" t="e">
        <f>K4/Benefits!$M$13</f>
        <v>#VALUE!</v>
      </c>
      <c r="L14" s="6">
        <f>L4/Benefits!$M$13</f>
        <v>0</v>
      </c>
      <c r="M14" s="55" t="e">
        <f t="shared" ref="M14:M20" si="4">K14/L14</f>
        <v>#VALUE!</v>
      </c>
      <c r="O14" s="101">
        <v>50.739374320000003</v>
      </c>
    </row>
    <row r="15" spans="2:21" x14ac:dyDescent="0.35">
      <c r="B15" s="22" t="str">
        <f t="shared" si="3"/>
        <v>Detention / Retention Pond</v>
      </c>
      <c r="C15" s="6" t="e">
        <f>C5/Benefits!$M$13</f>
        <v>#VALUE!</v>
      </c>
      <c r="D15" s="6">
        <f>D5/Benefits!$M$13</f>
        <v>0</v>
      </c>
      <c r="E15" s="6">
        <f>E5/Benefits!$M$13</f>
        <v>0</v>
      </c>
      <c r="F15" s="6">
        <f>F5/Benefits!$M$13</f>
        <v>0</v>
      </c>
      <c r="G15" s="6">
        <f>G5/Benefits!$M$13</f>
        <v>0</v>
      </c>
      <c r="H15" s="6">
        <f>H5/Benefits!$M$13</f>
        <v>0</v>
      </c>
      <c r="I15" s="6">
        <f t="shared" ref="I15:L20" si="5">I5</f>
        <v>0</v>
      </c>
      <c r="J15" s="6">
        <f>J5/Benefits!$M$13</f>
        <v>0</v>
      </c>
      <c r="K15" s="6" t="e">
        <f>K5/Benefits!$M$13</f>
        <v>#VALUE!</v>
      </c>
      <c r="L15" s="6">
        <f>L5/Benefits!$M$13</f>
        <v>0</v>
      </c>
      <c r="M15" s="55" t="e">
        <f t="shared" si="4"/>
        <v>#VALUE!</v>
      </c>
    </row>
    <row r="16" spans="2:21" x14ac:dyDescent="0.35">
      <c r="B16" s="22" t="str">
        <f t="shared" si="3"/>
        <v>Constructed Wetland</v>
      </c>
      <c r="C16" s="6" t="e">
        <f>C6/Benefits!$M$13</f>
        <v>#VALUE!</v>
      </c>
      <c r="D16" s="6">
        <f>D6/Benefits!$M$13</f>
        <v>0</v>
      </c>
      <c r="E16" s="6">
        <f>E6/Benefits!$M$13</f>
        <v>0</v>
      </c>
      <c r="F16" s="6">
        <f>F6/Benefits!$M$13</f>
        <v>0</v>
      </c>
      <c r="G16" s="6">
        <f>G6/Benefits!$M$13</f>
        <v>0</v>
      </c>
      <c r="H16" s="6">
        <f>H6/Benefits!$M$13</f>
        <v>0</v>
      </c>
      <c r="I16" s="6">
        <f t="shared" si="5"/>
        <v>0</v>
      </c>
      <c r="J16" s="6">
        <f>J6/Benefits!$M$13</f>
        <v>0</v>
      </c>
      <c r="K16" s="6" t="e">
        <f>K6/Benefits!$M$13</f>
        <v>#VALUE!</v>
      </c>
      <c r="L16" s="6">
        <f>L6/Benefits!$M$13</f>
        <v>0</v>
      </c>
      <c r="M16" s="55" t="e">
        <f t="shared" si="4"/>
        <v>#VALUE!</v>
      </c>
    </row>
    <row r="17" spans="2:13" x14ac:dyDescent="0.35">
      <c r="B17" s="22" t="str">
        <f t="shared" si="3"/>
        <v>Natural Area</v>
      </c>
      <c r="C17" s="6" t="e">
        <f>C7/Benefits!$M$13</f>
        <v>#VALUE!</v>
      </c>
      <c r="D17" s="6">
        <f>D7/Benefits!$M$13</f>
        <v>0</v>
      </c>
      <c r="E17" s="6">
        <f>E7/Benefits!$M$13</f>
        <v>0</v>
      </c>
      <c r="F17" s="6">
        <f>F7/Benefits!$M$13</f>
        <v>0</v>
      </c>
      <c r="G17" s="6">
        <f>G7/Benefits!$M$13</f>
        <v>0</v>
      </c>
      <c r="H17" s="6">
        <f>H7/Benefits!$M$13</f>
        <v>0</v>
      </c>
      <c r="I17" s="6">
        <f t="shared" si="5"/>
        <v>0</v>
      </c>
      <c r="J17" s="6">
        <f>J7/Benefits!$M$13</f>
        <v>0</v>
      </c>
      <c r="K17" s="6" t="e">
        <f>K7/Benefits!$M$13</f>
        <v>#VALUE!</v>
      </c>
      <c r="L17" s="6">
        <f>L7/Benefits!$M$13</f>
        <v>0</v>
      </c>
      <c r="M17" s="55" t="e">
        <f t="shared" si="4"/>
        <v>#VALUE!</v>
      </c>
    </row>
    <row r="18" spans="2:13" x14ac:dyDescent="0.35">
      <c r="B18" s="22" t="str">
        <f t="shared" si="3"/>
        <v>Pervious Pavement</v>
      </c>
      <c r="C18" s="6" t="e">
        <f>C8/Benefits!$M$13</f>
        <v>#VALUE!</v>
      </c>
      <c r="D18" s="6">
        <f>D8/Benefits!$M$13</f>
        <v>0</v>
      </c>
      <c r="E18" s="6">
        <f>E8/Benefits!$M$13</f>
        <v>0</v>
      </c>
      <c r="F18" s="6">
        <f>F8/Benefits!$M$13</f>
        <v>0</v>
      </c>
      <c r="G18" s="6">
        <f>G8/Benefits!$M$13</f>
        <v>0</v>
      </c>
      <c r="H18" s="6">
        <f>H8/Benefits!$M$13</f>
        <v>0</v>
      </c>
      <c r="I18" s="6">
        <f t="shared" si="5"/>
        <v>0</v>
      </c>
      <c r="J18" s="6">
        <f>J8/Benefits!$M$13</f>
        <v>0</v>
      </c>
      <c r="K18" s="6" t="e">
        <f>K8/Benefits!$M$13</f>
        <v>#VALUE!</v>
      </c>
      <c r="L18" s="6">
        <f>L8/Benefits!$M$13</f>
        <v>0</v>
      </c>
      <c r="M18" s="55" t="e">
        <f t="shared" si="4"/>
        <v>#VALUE!</v>
      </c>
    </row>
    <row r="19" spans="2:13" x14ac:dyDescent="0.35">
      <c r="B19" s="22" t="str">
        <f t="shared" si="3"/>
        <v>Street Trees</v>
      </c>
      <c r="C19" s="6" t="e">
        <f>C9</f>
        <v>#VALUE!</v>
      </c>
      <c r="D19" s="6">
        <f t="shared" ref="D19:H19" si="6">D9</f>
        <v>0</v>
      </c>
      <c r="E19" s="6">
        <f t="shared" si="6"/>
        <v>0</v>
      </c>
      <c r="F19" s="6">
        <f t="shared" si="6"/>
        <v>0</v>
      </c>
      <c r="G19" s="6">
        <f t="shared" si="6"/>
        <v>0</v>
      </c>
      <c r="H19" s="6">
        <f t="shared" si="6"/>
        <v>0</v>
      </c>
      <c r="I19" s="6">
        <f t="shared" si="5"/>
        <v>0</v>
      </c>
      <c r="J19" s="6">
        <f t="shared" si="5"/>
        <v>0</v>
      </c>
      <c r="K19" s="6" t="e">
        <f t="shared" si="5"/>
        <v>#VALUE!</v>
      </c>
      <c r="L19" s="6">
        <f t="shared" si="5"/>
        <v>0</v>
      </c>
      <c r="M19" s="55" t="e">
        <f t="shared" si="4"/>
        <v>#VALUE!</v>
      </c>
    </row>
    <row r="20" spans="2:13" ht="15" thickBot="1" x14ac:dyDescent="0.4">
      <c r="B20" s="51" t="str">
        <f t="shared" si="3"/>
        <v>Green Roof</v>
      </c>
      <c r="C20" s="44" t="e">
        <f>C10/Benefits!$M$13</f>
        <v>#VALUE!</v>
      </c>
      <c r="D20" s="44">
        <f>D10/Benefits!$M$13</f>
        <v>0</v>
      </c>
      <c r="E20" s="44">
        <f>E10/Benefits!$M$13</f>
        <v>0</v>
      </c>
      <c r="F20" s="44">
        <f>F10/Benefits!$M$13</f>
        <v>0</v>
      </c>
      <c r="G20" s="44">
        <f>G10/Benefits!$M$13</f>
        <v>0</v>
      </c>
      <c r="H20" s="44">
        <f>H10/Benefits!$M$13</f>
        <v>0</v>
      </c>
      <c r="I20" s="6">
        <f t="shared" si="5"/>
        <v>0</v>
      </c>
      <c r="J20" s="44">
        <f>J10/Benefits!$M$13</f>
        <v>0</v>
      </c>
      <c r="K20" s="44" t="e">
        <f>K10/Benefits!$M$13</f>
        <v>#VALUE!</v>
      </c>
      <c r="L20" s="44">
        <f>L10/Benefits!$M$13</f>
        <v>0</v>
      </c>
      <c r="M20" s="56" t="e">
        <f t="shared" si="4"/>
        <v>#VALUE!</v>
      </c>
    </row>
    <row r="22" spans="2:13" ht="15" thickBot="1" x14ac:dyDescent="0.4">
      <c r="B22" s="3" t="s">
        <v>157</v>
      </c>
    </row>
    <row r="23" spans="2:13" x14ac:dyDescent="0.35">
      <c r="B23" s="25" t="s">
        <v>158</v>
      </c>
      <c r="C23" s="26" t="s">
        <v>159</v>
      </c>
      <c r="D23" s="26" t="s">
        <v>160</v>
      </c>
      <c r="E23" s="27" t="s">
        <v>161</v>
      </c>
      <c r="F23" s="27" t="s">
        <v>162</v>
      </c>
      <c r="G23" s="28" t="s">
        <v>163</v>
      </c>
    </row>
    <row r="24" spans="2:13" ht="26" x14ac:dyDescent="0.35">
      <c r="B24" s="29" t="s">
        <v>164</v>
      </c>
      <c r="C24" s="10">
        <v>244100000</v>
      </c>
      <c r="D24" s="10">
        <v>192600000</v>
      </c>
      <c r="E24" s="11">
        <v>9550</v>
      </c>
      <c r="F24" s="10">
        <f t="shared" ref="F24:G28" si="7">ROUND(C24/$E24,-3)</f>
        <v>26000</v>
      </c>
      <c r="G24" s="30">
        <f t="shared" si="7"/>
        <v>20000</v>
      </c>
    </row>
    <row r="25" spans="2:13" ht="26" x14ac:dyDescent="0.35">
      <c r="B25" s="29" t="s">
        <v>165</v>
      </c>
      <c r="C25" s="10">
        <v>57300000</v>
      </c>
      <c r="D25" s="10">
        <v>41100000</v>
      </c>
      <c r="E25" s="11">
        <v>3240</v>
      </c>
      <c r="F25" s="10">
        <f t="shared" si="7"/>
        <v>18000</v>
      </c>
      <c r="G25" s="30">
        <f t="shared" si="7"/>
        <v>13000</v>
      </c>
    </row>
    <row r="26" spans="2:13" ht="52" x14ac:dyDescent="0.35">
      <c r="B26" s="29" t="s">
        <v>166</v>
      </c>
      <c r="C26" s="10">
        <v>690200000</v>
      </c>
      <c r="D26" s="10">
        <v>324400000</v>
      </c>
      <c r="E26" s="11">
        <v>41470</v>
      </c>
      <c r="F26" s="10">
        <f t="shared" si="7"/>
        <v>17000</v>
      </c>
      <c r="G26" s="30">
        <f t="shared" si="7"/>
        <v>8000</v>
      </c>
    </row>
    <row r="27" spans="2:13" ht="26" x14ac:dyDescent="0.35">
      <c r="B27" s="29" t="s">
        <v>167</v>
      </c>
      <c r="C27" s="10">
        <v>81600000</v>
      </c>
      <c r="D27" s="10">
        <v>43800000</v>
      </c>
      <c r="E27" s="11">
        <v>12710</v>
      </c>
      <c r="F27" s="10">
        <f t="shared" si="7"/>
        <v>6000</v>
      </c>
      <c r="G27" s="30">
        <f t="shared" si="7"/>
        <v>3000</v>
      </c>
    </row>
    <row r="28" spans="2:13" ht="15" thickBot="1" x14ac:dyDescent="0.4">
      <c r="B28" s="31" t="s">
        <v>168</v>
      </c>
      <c r="C28" s="32">
        <f>SUM(C24:C27)</f>
        <v>1073200000</v>
      </c>
      <c r="D28" s="32">
        <f>SUM(D24:D27)</f>
        <v>601900000</v>
      </c>
      <c r="E28" s="32">
        <f>SUM(E24:E27)</f>
        <v>66970</v>
      </c>
      <c r="F28" s="33">
        <f t="shared" si="7"/>
        <v>16000</v>
      </c>
      <c r="G28" s="34">
        <f t="shared" si="7"/>
        <v>9000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ee499a-4a1f-47e3-bd1f-57c40d599892">
      <Terms xmlns="http://schemas.microsoft.com/office/infopath/2007/PartnerControls"/>
    </lcf76f155ced4ddcb4097134ff3c332f>
    <TaxCatchAll xmlns="44271eb8-83be-4bac-826e-98794a1481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93089BAAC2A248AFA29319530597CE" ma:contentTypeVersion="9" ma:contentTypeDescription="Create a new document." ma:contentTypeScope="" ma:versionID="b54304eb155c67a9a27c9ec1657486e0">
  <xsd:schema xmlns:xsd="http://www.w3.org/2001/XMLSchema" xmlns:xs="http://www.w3.org/2001/XMLSchema" xmlns:p="http://schemas.microsoft.com/office/2006/metadata/properties" xmlns:ns2="14ee499a-4a1f-47e3-bd1f-57c40d599892" xmlns:ns3="44271eb8-83be-4bac-826e-98794a148152" targetNamespace="http://schemas.microsoft.com/office/2006/metadata/properties" ma:root="true" ma:fieldsID="c418dff3ae2ec5a38b1fe2b7fbb3666e" ns2:_="" ns3:_="">
    <xsd:import namespace="14ee499a-4a1f-47e3-bd1f-57c40d599892"/>
    <xsd:import namespace="44271eb8-83be-4bac-826e-98794a1481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ee499a-4a1f-47e3-bd1f-57c40d5998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42d3f74-2fdb-41e0-9a2a-a7ed73b29ea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271eb8-83be-4bac-826e-98794a14815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83cb1ee-2787-421e-9370-3ebb3c3254b7}" ma:internalName="TaxCatchAll" ma:showField="CatchAllData" ma:web="44271eb8-83be-4bac-826e-98794a1481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1624C4-223E-4EA4-A88D-8502B7F2109D}">
  <ds:schemaRefs>
    <ds:schemaRef ds:uri="http://schemas.microsoft.com/office/2006/metadata/properties"/>
    <ds:schemaRef ds:uri="http://schemas.microsoft.com/office/infopath/2007/PartnerControls"/>
    <ds:schemaRef ds:uri="14ee499a-4a1f-47e3-bd1f-57c40d599892"/>
    <ds:schemaRef ds:uri="44271eb8-83be-4bac-826e-98794a148152"/>
  </ds:schemaRefs>
</ds:datastoreItem>
</file>

<file path=customXml/itemProps2.xml><?xml version="1.0" encoding="utf-8"?>
<ds:datastoreItem xmlns:ds="http://schemas.openxmlformats.org/officeDocument/2006/customXml" ds:itemID="{9A9E7289-7348-4F24-A53B-CC6E88130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ee499a-4a1f-47e3-bd1f-57c40d599892"/>
    <ds:schemaRef ds:uri="44271eb8-83be-4bac-826e-98794a148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9B6218-EBE5-449B-94B0-3DE03B7E6532}">
  <ds:schemaRefs>
    <ds:schemaRef ds:uri="http://schemas.microsoft.com/sharepoint/v3/contenttype/forms"/>
  </ds:schemaRefs>
</ds:datastoreItem>
</file>

<file path=docMetadata/LabelInfo.xml><?xml version="1.0" encoding="utf-8"?>
<clbl:labelList xmlns:clbl="http://schemas.microsoft.com/office/2020/mipLabelMetadata">
  <clbl:label id="{a061e953-577f-44bc-90d4-dd6552c79708}"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Introduction</vt:lpstr>
      <vt:lpstr>Project Inputs &amp; Results</vt:lpstr>
      <vt:lpstr>Benefits</vt:lpstr>
      <vt:lpstr>Costs</vt:lpstr>
      <vt:lpstr>Results</vt:lpstr>
      <vt:lpstr>adj</vt:lpstr>
      <vt:lpstr>cost</vt:lpstr>
      <vt:lpstr>downstream</vt:lpstr>
      <vt:lpstr>energy</vt:lpstr>
      <vt:lpstr>floodval</vt:lpstr>
      <vt:lpstr>habitat</vt:lpstr>
      <vt:lpstr>landcost</vt:lpstr>
      <vt:lpstr>lease</vt:lpstr>
      <vt:lpstr>nitrogen</vt:lpstr>
      <vt:lpstr>phos</vt:lpstr>
      <vt:lpstr>purchase</vt:lpstr>
      <vt:lpstr>rec</vt:lpstr>
      <vt:lpstr>sedcost</vt:lpstr>
      <vt:lpstr>stormwatercost</vt:lpstr>
      <vt:lpstr>volume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Pearce-Smith</dc:creator>
  <cp:keywords/>
  <dc:description/>
  <cp:lastModifiedBy>Kaitlin Hunter</cp:lastModifiedBy>
  <cp:revision/>
  <dcterms:created xsi:type="dcterms:W3CDTF">2025-03-07T01:40:13Z</dcterms:created>
  <dcterms:modified xsi:type="dcterms:W3CDTF">2026-09-22T16:52:16Z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0x0101002493089BAAC2A248AFA29319530597CE</vt:lpwstr>
  </property>
  <property fmtid="{D5CDD505-2E9C-101B-9397-08002B2CF9AE}" pid="3" name="MediaServiceImageTags">
    <vt:lpwstr/>
  </property>
</Properties>
</file>