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mc:AlternateContent xmlns:mc="http://schemas.openxmlformats.org/markup-compatibility/2006">
    <mc:Choice Requires="x15">
      <x15ac:absPath xmlns:x15ac="http://schemas.microsoft.com/office/spreadsheetml/2010/11/ac" url="https://nctcog-my.sharepoint.com/personal/dgreen_nctcog_org/Documents/Documents/files to upload/"/>
    </mc:Choice>
  </mc:AlternateContent>
  <xr:revisionPtr revIDLastSave="0" documentId="8_{062468DD-8326-479A-9A9D-9FAD9A3AE8ED}" xr6:coauthVersionLast="47" xr6:coauthVersionMax="47" xr10:uidLastSave="{00000000-0000-0000-0000-000000000000}"/>
  <workbookProtection workbookAlgorithmName="SHA-512" workbookHashValue="Fi350PNwx+sOI7AnXV5fcDsNIW1JlOgdZuXbqN2sEi1GVdTvii9FyEBD3qYTNDP8vsqdOTKqigQ53G167zShPQ==" workbookSaltValue="pjb5clAhTz4QTPTRtxZ3tw==" workbookSpinCount="100000" lockStructure="1"/>
  <bookViews>
    <workbookView xWindow="-110" yWindow="-110" windowWidth="19420" windowHeight="10420" tabRatio="804" xr2:uid="{00000000-000D-0000-FFFF-FFFF00000000}"/>
  </bookViews>
  <sheets>
    <sheet name="Provider Information" sheetId="1" r:id="rId1"/>
    <sheet name="Provider Total Budget by Serv" sheetId="2" r:id="rId2"/>
    <sheet name="Provider Service Area" sheetId="21" r:id="rId3"/>
    <sheet name="Analysis Tool" sheetId="3" r:id="rId4"/>
    <sheet name="Home Delivered Meal Budget" sheetId="4" r:id="rId5"/>
    <sheet name="Certification HDM" sheetId="6" r:id="rId6"/>
    <sheet name="Unit Rate Calculation HDM" sheetId="5" r:id="rId7"/>
    <sheet name="In-Kind Certification HDM" sheetId="7" r:id="rId8"/>
    <sheet name="Congregate Meal Budget" sheetId="9" r:id="rId9"/>
    <sheet name="Unit Rate Calculation CM" sheetId="10" r:id="rId10"/>
    <sheet name="Certification CM" sheetId="11" r:id="rId11"/>
    <sheet name="In-Kind Certification CM" sheetId="12" r:id="rId12"/>
    <sheet name="Participant Assessment Budget" sheetId="13" r:id="rId13"/>
    <sheet name="Unit Rate Calculation PA" sheetId="14" r:id="rId14"/>
    <sheet name="Certification PA" sheetId="15" r:id="rId15"/>
    <sheet name="In-Kind Certification PA" sheetId="16" r:id="rId16"/>
    <sheet name="Transportation Budget" sheetId="17" r:id="rId17"/>
    <sheet name="Unit Rate Calculation Transp" sheetId="18" r:id="rId18"/>
    <sheet name="Certification Transp" sheetId="19" r:id="rId19"/>
    <sheet name="In-Kind Certification Transp" sheetId="20" r:id="rId20"/>
  </sheets>
  <definedNames>
    <definedName name="C_Acct_Fees">'Provider Total Budget by Serv'!$G$255</definedName>
    <definedName name="C_Advertising">'Provider Total Budget by Serv'!$G$210</definedName>
    <definedName name="C_Audit">'Provider Total Budget by Serv'!$G$270</definedName>
    <definedName name="C_Benefits">'Provider Total Budget by Serv'!$G$29</definedName>
    <definedName name="C_Conference">'Provider Total Budget by Serv'!$G$43</definedName>
    <definedName name="C_Consult_Fees">'Provider Total Budget by Serv'!$G$260</definedName>
    <definedName name="C_Consumables">'Provider Total Budget by Serv'!$G$87</definedName>
    <definedName name="C_Contract_Staff">'Provider Total Budget by Serv'!$G$36</definedName>
    <definedName name="C_Contractual_Admin">'Provider Total Budget by Serv'!$G$230</definedName>
    <definedName name="C_Copying">'Provider Total Budget by Serv'!$G$220</definedName>
    <definedName name="C_Delivery">'Provider Total Budget by Serv'!$G$173</definedName>
    <definedName name="C_Depreciation_Bldg">'Provider Total Budget by Serv'!$G$131</definedName>
    <definedName name="C_Depreciation_Equip">'Provider Total Budget by Serv'!$G$99</definedName>
    <definedName name="C_Depreciation_Transp">'Provider Total Budget by Serv'!$G$193</definedName>
    <definedName name="C_Dues">'Provider Total Budget by Serv'!$G$48</definedName>
    <definedName name="C_Equip_Leasing">'Provider Total Budget by Serv'!$G$109</definedName>
    <definedName name="C_Equip_Maintenance">'Provider Total Budget by Serv'!$G$114</definedName>
    <definedName name="C_GasOil">'Provider Total Budget by Serv'!$G$178</definedName>
    <definedName name="C_HotPrepMealsPurchfromSupplierCentralKitch">'Provider Total Budget by Serv'!$G$288</definedName>
    <definedName name="C_Insurance_Bldg">'Provider Total Budget by Serv'!$G$141</definedName>
    <definedName name="C_Insurance_Transp">'Provider Total Budget by Serv'!$G$188</definedName>
    <definedName name="C_Interest_Equip">'Provider Total Budget by Serv'!$G$104</definedName>
    <definedName name="C_Interest_Transp">'Provider Total Budget by Serv'!$G$198</definedName>
    <definedName name="C_Janitorial">'Provider Total Budget by Serv'!$G$151</definedName>
    <definedName name="C_Legal_Fees">'Provider Total Budget by Serv'!$G$250</definedName>
    <definedName name="C_Liability_Ins">'Provider Total Budget by Serv'!$G$245</definedName>
    <definedName name="C_Materials">'Provider Total Budget by Serv'!$G$53</definedName>
    <definedName name="C_Meal_Freight">'Provider Total Budget by Serv'!$G$73</definedName>
    <definedName name="C_MealsPreparedByProvider">'Provider Total Budget by Serv'!$G$286</definedName>
    <definedName name="C_Mileage">'Provider Total Budget by Serv'!$G$168</definedName>
    <definedName name="C_Mortgage_Interst_Bldg">'Provider Total Budget by Serv'!$G$136</definedName>
    <definedName name="C_O_Supply">'Provider Total Budget by Serv'!$G$225</definedName>
    <definedName name="C_Other_Fees_Admin">'Provider Total Budget by Serv'!$G$265</definedName>
    <definedName name="C_Other_Meal">'Provider Total Budget by Serv'!$G$92</definedName>
    <definedName name="C_Other_Misc_Admin">'Provider Total Budget by Serv'!$G$275</definedName>
    <definedName name="C_Percentage_of_Total_Meals">'Provider Total Budget by Serv'!$G$295</definedName>
    <definedName name="C_Postage">'Provider Total Budget by Serv'!$G$235</definedName>
    <definedName name="C_Printing">'Provider Total Budget by Serv'!$G$215</definedName>
    <definedName name="C_Purchased_ChilledMeals">'Provider Total Budget by Serv'!$G$65</definedName>
    <definedName name="C_Purchased_Frozen_Meals">'Provider Total Budget by Serv'!$G$64</definedName>
    <definedName name="C_Purchased_Hot_Meals">'Provider Total Budget by Serv'!$G$63</definedName>
    <definedName name="C_Purchased_ShelfStableMeals">'Provider Total Budget by Serv'!$G$66</definedName>
    <definedName name="C_PurchasedFrozenMeals">'Provider Total Budget by Serv'!$G$289</definedName>
    <definedName name="C_PurchasedMeals">'Provider Total Budget by Serv'!$G$68</definedName>
    <definedName name="C_PurchasedShelfStableMeals">'Provider Total Budget by Serv'!$G$291</definedName>
    <definedName name="C_RawFood">'Provider Total Budget by Serv'!$G$61</definedName>
    <definedName name="C_Rent_Bldg">'Provider Total Budget by Serv'!$G$121</definedName>
    <definedName name="C_Repair_Bldg">'Provider Total Budget by Serv'!$G$156</definedName>
    <definedName name="C_Repair_Transp">'Provider Total Budget by Serv'!$G$183</definedName>
    <definedName name="C_Salaries">'Provider Total Budget by Serv'!$G$17</definedName>
    <definedName name="C_Security_Bldg">'Provider Total Budget by Serv'!$G$146</definedName>
    <definedName name="C_Storage">'Provider Total Budget by Serv'!$G$78</definedName>
    <definedName name="C_Tags">'Provider Total Budget by Serv'!$G$203</definedName>
    <definedName name="C_Taxes">'Provider Total Budget by Serv'!$G$161</definedName>
    <definedName name="C_Telecom">'Provider Total Budget by Serv'!$G$240</definedName>
    <definedName name="C_Tot_Admin">'Provider Total Budget by Serv'!$G$276</definedName>
    <definedName name="C_Tot_Bldg">'Provider Total Budget by Serv'!$G$162</definedName>
    <definedName name="C_Tot_Equip">'Provider Total Budget by Serv'!$G$115</definedName>
    <definedName name="C_Tot_Meals_Food">'Provider Total Budget by Serv'!$G$93</definedName>
    <definedName name="C_Tot_Personnel">'Provider Total Budget by Serv'!$G$37</definedName>
    <definedName name="C_Tot_ProDev">'Provider Total Budget by Serv'!$G$54</definedName>
    <definedName name="C_Tot_TranspTrav">'Provider Total Budget by Serv'!$G$204</definedName>
    <definedName name="C_Total_All_Cost_Areas">'Provider Total Budget by Serv'!$G$278</definedName>
    <definedName name="C_Total_Personnel">'Provider Total Budget by Serv'!$G$37</definedName>
    <definedName name="C_TotalBudgetedMeals">'Provider Total Budget by Serv'!$G$294</definedName>
    <definedName name="C_TotalPurchasedMeals">'Provider Total Budget by Serv'!$G$292</definedName>
    <definedName name="C_Utilities_Bldg">'Provider Total Budget by Serv'!$G$126</definedName>
    <definedName name="CM_Provider_Prepared_Chilled_Meals">'Provider Total Budget by Serv'!$G$284</definedName>
    <definedName name="CM_Provider_Prepared_Frozen_Meals">'Provider Total Budget by Serv'!$G$283</definedName>
    <definedName name="CM_Provider_Prepared_Hot_Meals">'Provider Total Budget by Serv'!$G$282</definedName>
    <definedName name="CM_Purchased_Chilled_Meals">'Provider Total Budget by Serv'!$G$290</definedName>
    <definedName name="HD__Benefits">'Provider Total Budget by Serv'!$D$29</definedName>
    <definedName name="HD_Acct_Fees">'Provider Total Budget by Serv'!$D$255</definedName>
    <definedName name="HD_Advertising">'Provider Total Budget by Serv'!$D$210</definedName>
    <definedName name="HD_Audit">'Provider Total Budget by Serv'!$D$270</definedName>
    <definedName name="HD_Conference">'Provider Total Budget by Serv'!$D$43</definedName>
    <definedName name="HD_Consult_Fees">'Provider Total Budget by Serv'!$D$260</definedName>
    <definedName name="HD_Consumables">'Provider Total Budget by Serv'!$D$87</definedName>
    <definedName name="HD_Contract_Staff">'Provider Total Budget by Serv'!$D$36</definedName>
    <definedName name="HD_Contractual_Admin">'Provider Total Budget by Serv'!$D$230</definedName>
    <definedName name="HD_Copying">'Provider Total Budget by Serv'!$D$220</definedName>
    <definedName name="HD_Delivery">'Provider Total Budget by Serv'!$D$173</definedName>
    <definedName name="HD_Depreciation_Bldg">'Provider Total Budget by Serv'!$D$131</definedName>
    <definedName name="HD_Depreciation_Equip">'Provider Total Budget by Serv'!$D$99</definedName>
    <definedName name="HD_Depreciation_Transp">'Provider Total Budget by Serv'!$D$193</definedName>
    <definedName name="HD_Dues">'Provider Total Budget by Serv'!$D$48</definedName>
    <definedName name="HD_Equip_Leasing">'Provider Total Budget by Serv'!$D$109</definedName>
    <definedName name="HD_Equip_Maintenance">'Provider Total Budget by Serv'!$D$114</definedName>
    <definedName name="HD_GasOil">'Provider Total Budget by Serv'!$D$178</definedName>
    <definedName name="HD_HotPrepMealsPurchfromSupplierCentralKitch">'Provider Total Budget by Serv'!$D$288</definedName>
    <definedName name="HD_Insurance_Bldg">'Provider Total Budget by Serv'!$D$141</definedName>
    <definedName name="HD_Insurance_Transp">'Provider Total Budget by Serv'!$D$188</definedName>
    <definedName name="HD_Interest_Equip">'Provider Total Budget by Serv'!$D$104</definedName>
    <definedName name="HD_Interest_Transp">'Provider Total Budget by Serv'!$D$198</definedName>
    <definedName name="HD_Janitorial">'Provider Total Budget by Serv'!$D$151</definedName>
    <definedName name="HD_Legal_Fees">'Provider Total Budget by Serv'!$D$250</definedName>
    <definedName name="HD_Liability_Ins">'Provider Total Budget by Serv'!$D$245</definedName>
    <definedName name="HD_Materials">'Provider Total Budget by Serv'!$D$53</definedName>
    <definedName name="HD_Meal_Freight">'Provider Total Budget by Serv'!$D$73</definedName>
    <definedName name="HD_MealsPreparedByProvider">'Provider Total Budget by Serv'!$D$286</definedName>
    <definedName name="HD_Mileage">'Provider Total Budget by Serv'!$D$168</definedName>
    <definedName name="HD_Mortgage_Interst_Bldg">'Provider Total Budget by Serv'!$D$136</definedName>
    <definedName name="HD_O_Supply">'Provider Total Budget by Serv'!$D$225</definedName>
    <definedName name="HD_Other_Fees_Admin">'Provider Total Budget by Serv'!$D$265</definedName>
    <definedName name="HD_Other_Meal">'Provider Total Budget by Serv'!$D$92</definedName>
    <definedName name="HD_Other_Misc_Admin">'Provider Total Budget by Serv'!$D$275</definedName>
    <definedName name="HD_Percentage_of_Total_Meals">'Provider Total Budget by Serv'!$D$295</definedName>
    <definedName name="HD_Postage">'Provider Total Budget by Serv'!$D$235</definedName>
    <definedName name="HD_Printing">'Provider Total Budget by Serv'!$D$215</definedName>
    <definedName name="HD_Purchased_ChilledMeals">'Provider Total Budget by Serv'!$D$65</definedName>
    <definedName name="HD_Purchased_Frozen_Meals">'Provider Total Budget by Serv'!$D$64</definedName>
    <definedName name="HD_Purchased_Hot_Meals">'Provider Total Budget by Serv'!$D$63</definedName>
    <definedName name="HD_Purchased_ShelfStableMeals">'Provider Total Budget by Serv'!$D$66</definedName>
    <definedName name="HD_PurchasedFrozenMeals">'Provider Total Budget by Serv'!$D$289</definedName>
    <definedName name="HD_PurchasedMeals">'Provider Total Budget by Serv'!$D$68</definedName>
    <definedName name="HD_PurchasedShelfStableMeals">'Provider Total Budget by Serv'!$D$291</definedName>
    <definedName name="HD_RawFood">'Provider Total Budget by Serv'!$D$61</definedName>
    <definedName name="HD_Rent_Bldg">'Provider Total Budget by Serv'!$D$121</definedName>
    <definedName name="HD_Repair_Bldg">'Provider Total Budget by Serv'!$D$156</definedName>
    <definedName name="HD_Repair_Transp">'Provider Total Budget by Serv'!$D$183</definedName>
    <definedName name="HD_Salaries">'Provider Total Budget by Serv'!$D$17</definedName>
    <definedName name="HD_Security_Bldg">'Provider Total Budget by Serv'!$D$146</definedName>
    <definedName name="HD_Storage">'Provider Total Budget by Serv'!$D$78</definedName>
    <definedName name="HD_T_Sal">'Provider Total Budget by Serv'!$D$17</definedName>
    <definedName name="HD_Tags">'Provider Total Budget by Serv'!$D$203</definedName>
    <definedName name="HD_Taxes">'Provider Total Budget by Serv'!$D$161</definedName>
    <definedName name="HD_Telecom">'Provider Total Budget by Serv'!$D$240</definedName>
    <definedName name="HD_Tot_Admin">'Provider Total Budget by Serv'!$D$276</definedName>
    <definedName name="HD_Tot_Bldg">'Provider Total Budget by Serv'!$D$162</definedName>
    <definedName name="HD_Tot_Equip">'Provider Total Budget by Serv'!$D$115</definedName>
    <definedName name="HD_Tot_Meals_Food">'Provider Total Budget by Serv'!$D$93</definedName>
    <definedName name="HD_Tot_Personnel">'Provider Total Budget by Serv'!$D$37</definedName>
    <definedName name="HD_Tot_ProDev">'Provider Total Budget by Serv'!$D$54</definedName>
    <definedName name="HD_Tot_TranspTrav">'Provider Total Budget by Serv'!$D$204</definedName>
    <definedName name="HD_Total_All_Cost_Areas">'Provider Total Budget by Serv'!$D$278</definedName>
    <definedName name="HD_TotalBudgetedMeals">'Provider Total Budget by Serv'!$D$294</definedName>
    <definedName name="HD_TotalPurchasedMeals">'Provider Total Budget by Serv'!$D$292</definedName>
    <definedName name="HD_Utilities_Bldg">'Provider Total Budget by Serv'!$D$126</definedName>
    <definedName name="HDM_Provider_Prepared_Chilled_Meals">'Provider Total Budget by Serv'!$D$284</definedName>
    <definedName name="HDM_Provider_Prepared_Frozen_Meals">'Provider Total Budget by Serv'!$D$283</definedName>
    <definedName name="HDM_Provider_Prepared_Hot_Meals">'Provider Total Budget by Serv'!$D$282</definedName>
    <definedName name="HDM_Purchased_Chilled_Meals">'Provider Total Budget by Serv'!$D$290</definedName>
    <definedName name="NE_AAA_Benefits">'Provider Total Budget by Serv'!$E$29</definedName>
    <definedName name="NE_AAA_Conference">'Provider Total Budget by Serv'!$E$43</definedName>
    <definedName name="NE_AAA_Contract_Staff">'Provider Total Budget by Serv'!$E$36</definedName>
    <definedName name="NE_AAA_Dues">'Provider Total Budget by Serv'!$E$48</definedName>
    <definedName name="NE_AAA_Materials">'Provider Total Budget by Serv'!$E$53</definedName>
    <definedName name="NE_AAA_Salaries">'Provider Total Budget by Serv'!$E$17</definedName>
    <definedName name="NE_AAA_Tot_Personnel">'Provider Total Budget by Serv'!$E$37</definedName>
    <definedName name="NE_AAA_Tot_ProDev">'Provider Total Budget by Serv'!$E$54</definedName>
    <definedName name="NE_AAA_Total_All_Cost_Areas">'Provider Total Budget by Serv'!$E$278</definedName>
    <definedName name="NE_RLS__Total_All_Cost_Areas">'Provider Total Budget by Serv'!$F$278</definedName>
    <definedName name="NE_RLS_Benefits">'Provider Total Budget by Serv'!$F$29</definedName>
    <definedName name="NE_RLS_Conference">'Provider Total Budget by Serv'!$F$43</definedName>
    <definedName name="NE_RLS_Contract_Staff">'Provider Total Budget by Serv'!$F$36</definedName>
    <definedName name="NE_RLS_Dues">'Provider Total Budget by Serv'!$F$48</definedName>
    <definedName name="NE_RLS_Materials">'Provider Total Budget by Serv'!$F$53</definedName>
    <definedName name="NE_RLS_Salaries">'Provider Total Budget by Serv'!$F$17</definedName>
    <definedName name="NE_RLS_T_Sal">'Provider Total Budget by Serv'!$F$17</definedName>
    <definedName name="NE_RLS_Tot_Personnel">'Provider Total Budget by Serv'!$F$37</definedName>
    <definedName name="NE_RLS_Tot_ProDev">'Provider Total Budget by Serv'!$F$54</definedName>
    <definedName name="_xlnm.Print_Area" localSheetId="3">'Analysis Tool'!$A$5:$K$71</definedName>
    <definedName name="_xlnm.Print_Area" localSheetId="10">'Certification CM'!$B$1:$K$45</definedName>
    <definedName name="_xlnm.Print_Area" localSheetId="5">'Certification HDM'!$B$1:$K$48</definedName>
    <definedName name="_xlnm.Print_Area" localSheetId="14">'Certification PA'!$B$1:$K$47</definedName>
    <definedName name="_xlnm.Print_Area" localSheetId="8">'Congregate Meal Budget'!$A$13:$P$106</definedName>
    <definedName name="_xlnm.Print_Area" localSheetId="4">'Home Delivered Meal Budget'!$A$1:$O$104</definedName>
    <definedName name="_xlnm.Print_Area" localSheetId="11">'In-Kind Certification CM'!$B$1:$G$48</definedName>
    <definedName name="_xlnm.Print_Area" localSheetId="7">'In-Kind Certification HDM'!$A$1:$H$51</definedName>
    <definedName name="_xlnm.Print_Area" localSheetId="15">'In-Kind Certification PA'!$B$1:$G$48</definedName>
    <definedName name="_xlnm.Print_Area" localSheetId="19">'In-Kind Certification Transp'!$B$1:$G$48</definedName>
    <definedName name="_xlnm.Print_Area" localSheetId="12">'Participant Assessment Budget'!$A$13:$O$101</definedName>
    <definedName name="_xlnm.Print_Area" localSheetId="0">'Provider Information'!$A$1:$M$49</definedName>
    <definedName name="_xlnm.Print_Area" localSheetId="1">'Provider Total Budget by Serv'!$A$6:$P$300</definedName>
    <definedName name="_xlnm.Print_Area" localSheetId="16">'Transportation Budget'!$A$13:$O$98</definedName>
    <definedName name="_xlnm.Print_Area" localSheetId="9">'Unit Rate Calculation CM'!$B$1:$K$61</definedName>
    <definedName name="_xlnm.Print_Area" localSheetId="6">'Unit Rate Calculation HDM'!$B$1:$K$63</definedName>
    <definedName name="_xlnm.Print_Area" localSheetId="13">'Unit Rate Calculation PA'!$A$1:$M$60</definedName>
    <definedName name="_xlnm.Print_Area" localSheetId="17">'Unit Rate Calculation Transp'!$B$1:$M$61</definedName>
    <definedName name="_xlnm.Print_Titles" localSheetId="3">'Analysis Tool'!$1:$4</definedName>
    <definedName name="_xlnm.Print_Titles" localSheetId="8">'Congregate Meal Budget'!$1:$12</definedName>
    <definedName name="_xlnm.Print_Titles" localSheetId="4">'Home Delivered Meal Budget'!$1:$12</definedName>
    <definedName name="_xlnm.Print_Titles" localSheetId="12">'Participant Assessment Budget'!$1:$12</definedName>
    <definedName name="_xlnm.Print_Titles" localSheetId="1">'Provider Total Budget by Serv'!$1:$4</definedName>
    <definedName name="_xlnm.Print_Titles" localSheetId="16">'Transportation Budget'!$1:$12</definedName>
    <definedName name="Total_Acct_Fees">'Provider Total Budget by Serv'!$C$255</definedName>
    <definedName name="Total_Advertising">'Provider Total Budget by Serv'!$C$210</definedName>
    <definedName name="Total_Audit">'Provider Total Budget by Serv'!$C$270</definedName>
    <definedName name="Total_Benefits">'Provider Total Budget by Serv'!$C$29</definedName>
    <definedName name="Total_Conference">'Provider Total Budget by Serv'!$C$43</definedName>
    <definedName name="Total_Consult_Fees">'Provider Total Budget by Serv'!$C$260</definedName>
    <definedName name="Total_Consumables">'Provider Total Budget by Serv'!$C$87</definedName>
    <definedName name="Total_Contract_Staff">'Provider Total Budget by Serv'!$C$36</definedName>
    <definedName name="Total_Contractual_Admin">'Provider Total Budget by Serv'!$C$230</definedName>
    <definedName name="Total_Copying">'Provider Total Budget by Serv'!$C$220</definedName>
    <definedName name="Total_Delivery">'Provider Total Budget by Serv'!$C$173</definedName>
    <definedName name="Total_Depreciation_Bldg">'Provider Total Budget by Serv'!$C$131</definedName>
    <definedName name="Total_Depreciation_Equip">'Provider Total Budget by Serv'!$C$99</definedName>
    <definedName name="Total_Depreciation_Transp">'Provider Total Budget by Serv'!$C$193</definedName>
    <definedName name="Total_Dues">'Provider Total Budget by Serv'!$C$48</definedName>
    <definedName name="Total_Equip_Leasing">'Provider Total Budget by Serv'!$C$109</definedName>
    <definedName name="Total_Equip_Maintenance">'Provider Total Budget by Serv'!$C$114</definedName>
    <definedName name="Total_GasOil">'Provider Total Budget by Serv'!$C$178</definedName>
    <definedName name="Total_HotPrepMealsPurchfromSupplierCentralKitch">'Provider Total Budget by Serv'!$C$288</definedName>
    <definedName name="Total_Insurance_Bldg">'Provider Total Budget by Serv'!$C$141</definedName>
    <definedName name="Total_Insurance_Transp">'Provider Total Budget by Serv'!$C$188</definedName>
    <definedName name="Total_Interest_Equip">'Provider Total Budget by Serv'!$C$104</definedName>
    <definedName name="Total_Interest_Transp">'Provider Total Budget by Serv'!$C$198</definedName>
    <definedName name="Total_Janitorial">'Provider Total Budget by Serv'!$C$151</definedName>
    <definedName name="Total_Legal_Fees">'Provider Total Budget by Serv'!$C$250</definedName>
    <definedName name="Total_Liability_Ins">'Provider Total Budget by Serv'!$C$245</definedName>
    <definedName name="Total_Materials">'Provider Total Budget by Serv'!$C$53</definedName>
    <definedName name="Total_Meal_Freight">'Provider Total Budget by Serv'!$C$73</definedName>
    <definedName name="Total_MealsPreparedByProvider">'Provider Total Budget by Serv'!$C$286</definedName>
    <definedName name="Total_Mileage">'Provider Total Budget by Serv'!$C$168</definedName>
    <definedName name="Total_Mortgage_Interst_Bldg">'Provider Total Budget by Serv'!$C$136</definedName>
    <definedName name="Total_O_Supply">'Provider Total Budget by Serv'!$C$225</definedName>
    <definedName name="Total_Other_Fees_Admin">'Provider Total Budget by Serv'!$C$265</definedName>
    <definedName name="Total_Other_Meal">'Provider Total Budget by Serv'!$C$92</definedName>
    <definedName name="Total_Other_Misc_Admin">'Provider Total Budget by Serv'!$C$275</definedName>
    <definedName name="Total_Payroll_Taxes___Benefits__Employer_Paid">'Provider Total Budget by Serv'!$C$29</definedName>
    <definedName name="Total_Postage">'Provider Total Budget by Serv'!$C$235</definedName>
    <definedName name="Total_Printing">'Provider Total Budget by Serv'!$C$215</definedName>
    <definedName name="Total_Provider_Prepared_Chilled_Meals">'Provider Total Budget by Serv'!$C$284</definedName>
    <definedName name="Total_Provider_Prepared_Frozen_Meals">'Provider Total Budget by Serv'!$C$283</definedName>
    <definedName name="Total_Provider_Prepared_Hot_Meals">'Provider Total Budget by Serv'!$C$282</definedName>
    <definedName name="Total_Purchased_Chilled_Meals">'Provider Total Budget by Serv'!$C$290</definedName>
    <definedName name="Total_Purchased_ChilledMeals">'Provider Total Budget by Serv'!$C$65</definedName>
    <definedName name="Total_Purchased_Frozen_Meals">'Provider Total Budget by Serv'!$C$64</definedName>
    <definedName name="Total_Purchased_Hot_Meals">'Provider Total Budget by Serv'!$C$63</definedName>
    <definedName name="Total_Purchased_ShelfStableMeals">'Provider Total Budget by Serv'!$C$66</definedName>
    <definedName name="Total_PurchasedFrozenMeals">'Provider Total Budget by Serv'!$C$289</definedName>
    <definedName name="Total_PurchasedMeals">'Provider Total Budget by Serv'!$C$68</definedName>
    <definedName name="Total_PurchasedShelfStableMeals">'Provider Total Budget by Serv'!$C$291</definedName>
    <definedName name="Total_RawFood">'Provider Total Budget by Serv'!$C$61</definedName>
    <definedName name="Total_Rent_Bldg">'Provider Total Budget by Serv'!$C$121</definedName>
    <definedName name="Total_Repair_Bldg">'Provider Total Budget by Serv'!$C$156</definedName>
    <definedName name="Total_Repair_Transp">'Provider Total Budget by Serv'!$C$183</definedName>
    <definedName name="Total_Salaries">'Provider Total Budget by Serv'!$C$17</definedName>
    <definedName name="Total_Security_Bldg">'Provider Total Budget by Serv'!$C$146</definedName>
    <definedName name="Total_Storage">'Provider Total Budget by Serv'!$C$78</definedName>
    <definedName name="Total_Tags">'Provider Total Budget by Serv'!$C$203</definedName>
    <definedName name="Total_Taxes">'Provider Total Budget by Serv'!$C$161</definedName>
    <definedName name="Total_Telecom">'Provider Total Budget by Serv'!$C$240</definedName>
    <definedName name="Total_Tot_Admin">'Provider Total Budget by Serv'!$C$276</definedName>
    <definedName name="Total_Tot_Bldg">'Provider Total Budget by Serv'!$C$162</definedName>
    <definedName name="Total_Tot_Equip">'Provider Total Budget by Serv'!$C$115</definedName>
    <definedName name="Total_Tot_Meals_Food">'Provider Total Budget by Serv'!$C$93</definedName>
    <definedName name="Total_Tot_Personnel">'Provider Total Budget by Serv'!$C$37</definedName>
    <definedName name="Total_Tot_ProDev">'Provider Total Budget by Serv'!$C$54</definedName>
    <definedName name="Total_Tot_TranspTrav">'Provider Total Budget by Serv'!$C$204</definedName>
    <definedName name="Total_Total_All_Cost_Areas">'Provider Total Budget by Serv'!$C$278</definedName>
    <definedName name="Total_TotalBudgetedMeals">'Provider Total Budget by Serv'!$C$294</definedName>
    <definedName name="Total_TotalPurchasedMeals">'Provider Total Budget by Serv'!$C$292</definedName>
    <definedName name="Total_Utilities_Bldg">'Provider Total Budget by Serv'!$C$126</definedName>
    <definedName name="Z_77E975B4_E38D_4535_BE87_54788ABB15EB_.wvu.PrintArea" localSheetId="7" hidden="1">'In-Kind Certification HDM'!$A$5:$H$51</definedName>
    <definedName name="Z_77E975B4_E38D_4535_BE87_54788ABB15EB_.wvu.PrintArea" localSheetId="6" hidden="1">'Unit Rate Calculation HDM'!$B$6:$K$63</definedName>
    <definedName name="Z_DDFE7685_90A4_42DC_AFD9_89B5EC30420E_.wvu.PrintArea" localSheetId="3" hidden="1">'Analysis Tool'!$A$5:$K$71</definedName>
    <definedName name="Z_DDFE7685_90A4_42DC_AFD9_89B5EC30420E_.wvu.PrintArea" localSheetId="10" hidden="1">'Certification CM'!$B$1:$K$45</definedName>
    <definedName name="Z_DDFE7685_90A4_42DC_AFD9_89B5EC30420E_.wvu.PrintArea" localSheetId="5" hidden="1">'Certification HDM'!$B$1:$K$48</definedName>
    <definedName name="Z_DDFE7685_90A4_42DC_AFD9_89B5EC30420E_.wvu.PrintArea" localSheetId="14" hidden="1">'Certification PA'!$B$1:$K$47</definedName>
    <definedName name="Z_DDFE7685_90A4_42DC_AFD9_89B5EC30420E_.wvu.PrintArea" localSheetId="8" hidden="1">'Congregate Meal Budget'!$A$13:$P$106</definedName>
    <definedName name="Z_DDFE7685_90A4_42DC_AFD9_89B5EC30420E_.wvu.PrintArea" localSheetId="4" hidden="1">'Home Delivered Meal Budget'!$A$1:$O$104</definedName>
    <definedName name="Z_DDFE7685_90A4_42DC_AFD9_89B5EC30420E_.wvu.PrintArea" localSheetId="11" hidden="1">'In-Kind Certification CM'!$B$1:$G$48</definedName>
    <definedName name="Z_DDFE7685_90A4_42DC_AFD9_89B5EC30420E_.wvu.PrintArea" localSheetId="7" hidden="1">'In-Kind Certification HDM'!$A$1:$H$51</definedName>
    <definedName name="Z_DDFE7685_90A4_42DC_AFD9_89B5EC30420E_.wvu.PrintArea" localSheetId="15" hidden="1">'In-Kind Certification PA'!$B$1:$G$48</definedName>
    <definedName name="Z_DDFE7685_90A4_42DC_AFD9_89B5EC30420E_.wvu.PrintArea" localSheetId="19" hidden="1">'In-Kind Certification Transp'!$B$1:$G$48</definedName>
    <definedName name="Z_DDFE7685_90A4_42DC_AFD9_89B5EC30420E_.wvu.PrintArea" localSheetId="12" hidden="1">'Participant Assessment Budget'!$A$13:$O$101</definedName>
    <definedName name="Z_DDFE7685_90A4_42DC_AFD9_89B5EC30420E_.wvu.PrintArea" localSheetId="0" hidden="1">'Provider Information'!$A$1:$M$49</definedName>
    <definedName name="Z_DDFE7685_90A4_42DC_AFD9_89B5EC30420E_.wvu.PrintArea" localSheetId="1" hidden="1">'Provider Total Budget by Serv'!$A$6:$P$300</definedName>
    <definedName name="Z_DDFE7685_90A4_42DC_AFD9_89B5EC30420E_.wvu.PrintArea" localSheetId="16" hidden="1">'Transportation Budget'!$A$13:$O$98</definedName>
    <definedName name="Z_DDFE7685_90A4_42DC_AFD9_89B5EC30420E_.wvu.PrintArea" localSheetId="9" hidden="1">'Unit Rate Calculation CM'!$B$1:$K$61</definedName>
    <definedName name="Z_DDFE7685_90A4_42DC_AFD9_89B5EC30420E_.wvu.PrintArea" localSheetId="6" hidden="1">'Unit Rate Calculation HDM'!$B$1:$K$63</definedName>
    <definedName name="Z_DDFE7685_90A4_42DC_AFD9_89B5EC30420E_.wvu.PrintArea" localSheetId="13" hidden="1">'Unit Rate Calculation PA'!$A$1:$M$60</definedName>
    <definedName name="Z_DDFE7685_90A4_42DC_AFD9_89B5EC30420E_.wvu.PrintArea" localSheetId="17" hidden="1">'Unit Rate Calculation Transp'!$B$1:$M$61</definedName>
    <definedName name="Z_DDFE7685_90A4_42DC_AFD9_89B5EC30420E_.wvu.PrintTitles" localSheetId="3" hidden="1">'Analysis Tool'!$1:$4</definedName>
    <definedName name="Z_DDFE7685_90A4_42DC_AFD9_89B5EC30420E_.wvu.PrintTitles" localSheetId="8" hidden="1">'Congregate Meal Budget'!$1:$12</definedName>
    <definedName name="Z_DDFE7685_90A4_42DC_AFD9_89B5EC30420E_.wvu.PrintTitles" localSheetId="4" hidden="1">'Home Delivered Meal Budget'!$1:$12</definedName>
    <definedName name="Z_DDFE7685_90A4_42DC_AFD9_89B5EC30420E_.wvu.PrintTitles" localSheetId="12" hidden="1">'Participant Assessment Budget'!$1:$12</definedName>
    <definedName name="Z_DDFE7685_90A4_42DC_AFD9_89B5EC30420E_.wvu.PrintTitles" localSheetId="1" hidden="1">'Provider Total Budget by Serv'!$1:$4</definedName>
    <definedName name="Z_DDFE7685_90A4_42DC_AFD9_89B5EC30420E_.wvu.PrintTitles" localSheetId="16" hidden="1">'Transportation Budget'!$1:$12</definedName>
    <definedName name="Z_DDFE7685_90A4_42DC_AFD9_89B5EC30420E_.wvu.Rows" localSheetId="4" hidden="1">'Home Delivered Meal Budget'!$91:$91</definedName>
    <definedName name="Z_DDFE7685_90A4_42DC_AFD9_89B5EC30420E_.wvu.Rows" localSheetId="1" hidden="1">'Provider Total Budget by Serv'!$16:$16,'Provider Total Budget by Serv'!$28:$28,'Provider Total Budget by Serv'!$35:$35,'Provider Total Budget by Serv'!$42:$42,'Provider Total Budget by Serv'!$47:$47,'Provider Total Budget by Serv'!$52:$52,'Provider Total Budget by Serv'!$60:$60,'Provider Total Budget by Serv'!$67:$67,'Provider Total Budget by Serv'!$72:$72,'Provider Total Budget by Serv'!$77:$77,'Provider Total Budget by Serv'!$86:$86,'Provider Total Budget by Serv'!$91:$91,'Provider Total Budget by Serv'!$98:$98,'Provider Total Budget by Serv'!$103:$103,'Provider Total Budget by Serv'!$108:$108,'Provider Total Budget by Serv'!$113:$113,'Provider Total Budget by Serv'!$120:$120,'Provider Total Budget by Serv'!$125:$125,'Provider Total Budget by Serv'!$130:$130,'Provider Total Budget by Serv'!$135:$135,'Provider Total Budget by Serv'!$140:$140,'Provider Total Budget by Serv'!$145:$145,'Provider Total Budget by Serv'!$150:$150,'Provider Total Budget by Serv'!$155:$155,'Provider Total Budget by Serv'!$160:$160,'Provider Total Budget by Serv'!$167:$167,'Provider Total Budget by Serv'!$172:$172,'Provider Total Budget by Serv'!$177:$177,'Provider Total Budget by Serv'!$182:$182,'Provider Total Budget by Serv'!$187:$187,'Provider Total Budget by Serv'!$192:$192,'Provider Total Budget by Serv'!$197:$197,'Provider Total Budget by Serv'!$202:$202,'Provider Total Budget by Serv'!$209:$209,'Provider Total Budget by Serv'!$214:$214,'Provider Total Budget by Serv'!$219:$219,'Provider Total Budget by Serv'!$224:$224,'Provider Total Budget by Serv'!$229:$229,'Provider Total Budget by Serv'!$234:$234,'Provider Total Budget by Serv'!$239:$239,'Provider Total Budget by Serv'!$244:$244,'Provider Total Budget by Serv'!$249:$249,'Provider Total Budget by Serv'!$254:$254,'Provider Total Budget by Serv'!$259:$259,'Provider Total Budget by Serv'!$264:$264,'Provider Total Budget by Serv'!$269:$269,'Provider Total Budget by Serv'!$274:$274</definedName>
  </definedNames>
  <calcPr calcId="191029"/>
  <customWorkbookViews>
    <customWorkbookView name="Hernandez,Laurie M (DADS) - Personal View" guid="{DDFE7685-90A4-42DC-AFD9-89B5EC30420E}" mergeInterval="0" personalView="1" maximized="1" windowWidth="1276" windowHeight="805" tabRatio="954" activeSheetId="17"/>
    <customWorkbookView name="Sarah E. Hambrick - Personal View" guid="{77E975B4-E38D-4535-BE87-54788ABB15EB}" mergeInterval="0" personalView="1" maximized="1" windowWidth="796" windowHeight="411" tabRatio="747"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1" i="17" l="1"/>
  <c r="C82" i="4"/>
  <c r="C83" i="4"/>
  <c r="N11" i="4"/>
  <c r="C275" i="2" l="1"/>
  <c r="D275" i="2"/>
  <c r="E275" i="2"/>
  <c r="F275" i="2"/>
  <c r="G275" i="2"/>
  <c r="H275" i="2"/>
  <c r="I275" i="2"/>
  <c r="J275" i="2"/>
  <c r="K275" i="2"/>
  <c r="L275" i="2"/>
  <c r="M275" i="2"/>
  <c r="N275" i="2"/>
  <c r="C270" i="2"/>
  <c r="D270" i="2"/>
  <c r="E270" i="2"/>
  <c r="F270" i="2"/>
  <c r="G270" i="2"/>
  <c r="H270" i="2"/>
  <c r="I270" i="2"/>
  <c r="J270" i="2"/>
  <c r="K270" i="2"/>
  <c r="L270" i="2"/>
  <c r="M270" i="2"/>
  <c r="N270" i="2"/>
  <c r="C265" i="2"/>
  <c r="D265" i="2"/>
  <c r="E265" i="2"/>
  <c r="F265" i="2"/>
  <c r="G265" i="2"/>
  <c r="H265" i="2"/>
  <c r="I265" i="2"/>
  <c r="J265" i="2"/>
  <c r="K265" i="2"/>
  <c r="L265" i="2"/>
  <c r="M265" i="2"/>
  <c r="N265" i="2"/>
  <c r="C260" i="2"/>
  <c r="D260" i="2"/>
  <c r="E260" i="2"/>
  <c r="F260" i="2"/>
  <c r="G260" i="2"/>
  <c r="H260" i="2"/>
  <c r="I260" i="2"/>
  <c r="J260" i="2"/>
  <c r="K260" i="2"/>
  <c r="L260" i="2"/>
  <c r="M260" i="2"/>
  <c r="N260" i="2"/>
  <c r="C255" i="2"/>
  <c r="D255" i="2"/>
  <c r="E255" i="2"/>
  <c r="F255" i="2"/>
  <c r="G255" i="2"/>
  <c r="H255" i="2"/>
  <c r="I255" i="2"/>
  <c r="J255" i="2"/>
  <c r="K255" i="2"/>
  <c r="L255" i="2"/>
  <c r="M255" i="2"/>
  <c r="N255" i="2"/>
  <c r="C250" i="2"/>
  <c r="D250" i="2"/>
  <c r="E250" i="2"/>
  <c r="F250" i="2"/>
  <c r="G250" i="2"/>
  <c r="H250" i="2"/>
  <c r="I250" i="2"/>
  <c r="J250" i="2"/>
  <c r="K250" i="2"/>
  <c r="L250" i="2"/>
  <c r="M250" i="2"/>
  <c r="N250" i="2"/>
  <c r="C245" i="2"/>
  <c r="D245" i="2"/>
  <c r="E245" i="2"/>
  <c r="F245" i="2"/>
  <c r="G245" i="2"/>
  <c r="H245" i="2"/>
  <c r="I245" i="2"/>
  <c r="J245" i="2"/>
  <c r="K245" i="2"/>
  <c r="L245" i="2"/>
  <c r="M245" i="2"/>
  <c r="N245" i="2"/>
  <c r="C240" i="2"/>
  <c r="D240" i="2"/>
  <c r="E240" i="2"/>
  <c r="F240" i="2"/>
  <c r="G240" i="2"/>
  <c r="H240" i="2"/>
  <c r="I240" i="2"/>
  <c r="J240" i="2"/>
  <c r="K240" i="2"/>
  <c r="L240" i="2"/>
  <c r="M240" i="2"/>
  <c r="N240" i="2"/>
  <c r="C235" i="2"/>
  <c r="D235" i="2"/>
  <c r="E235" i="2"/>
  <c r="F235" i="2"/>
  <c r="G235" i="2"/>
  <c r="H235" i="2"/>
  <c r="I235" i="2"/>
  <c r="J235" i="2"/>
  <c r="K235" i="2"/>
  <c r="L235" i="2"/>
  <c r="M235" i="2"/>
  <c r="N235" i="2"/>
  <c r="C230" i="2"/>
  <c r="D230" i="2"/>
  <c r="E230" i="2"/>
  <c r="F230" i="2"/>
  <c r="G230" i="2"/>
  <c r="H230" i="2"/>
  <c r="I230" i="2"/>
  <c r="J230" i="2"/>
  <c r="K230" i="2"/>
  <c r="L230" i="2"/>
  <c r="M230" i="2"/>
  <c r="N230" i="2"/>
  <c r="C225" i="2"/>
  <c r="D225" i="2"/>
  <c r="E225" i="2"/>
  <c r="F225" i="2"/>
  <c r="G225" i="2"/>
  <c r="H225" i="2"/>
  <c r="I225" i="2"/>
  <c r="J225" i="2"/>
  <c r="K225" i="2"/>
  <c r="L225" i="2"/>
  <c r="M225" i="2"/>
  <c r="N225" i="2"/>
  <c r="C220" i="2"/>
  <c r="D220" i="2"/>
  <c r="E220" i="2"/>
  <c r="F220" i="2"/>
  <c r="G220" i="2"/>
  <c r="H220" i="2"/>
  <c r="I220" i="2"/>
  <c r="J220" i="2"/>
  <c r="K220" i="2"/>
  <c r="L220" i="2"/>
  <c r="M220" i="2"/>
  <c r="N220" i="2"/>
  <c r="C215" i="2"/>
  <c r="D215" i="2"/>
  <c r="E215" i="2"/>
  <c r="F215" i="2"/>
  <c r="G215" i="2"/>
  <c r="H215" i="2"/>
  <c r="I215" i="2"/>
  <c r="J215" i="2"/>
  <c r="K215" i="2"/>
  <c r="L215" i="2"/>
  <c r="M215" i="2"/>
  <c r="N215" i="2"/>
  <c r="C210" i="2"/>
  <c r="D210" i="2"/>
  <c r="E210" i="2"/>
  <c r="F210" i="2"/>
  <c r="G210" i="2"/>
  <c r="H210" i="2"/>
  <c r="I210" i="2"/>
  <c r="J210" i="2"/>
  <c r="K210" i="2"/>
  <c r="L210" i="2"/>
  <c r="M210" i="2"/>
  <c r="N210" i="2"/>
  <c r="C203" i="2"/>
  <c r="D203" i="2"/>
  <c r="E203" i="2"/>
  <c r="F203" i="2"/>
  <c r="G203" i="2"/>
  <c r="H203" i="2"/>
  <c r="I203" i="2"/>
  <c r="J203" i="2"/>
  <c r="K203" i="2"/>
  <c r="L203" i="2"/>
  <c r="M203" i="2"/>
  <c r="N203" i="2"/>
  <c r="C198" i="2"/>
  <c r="D198" i="2"/>
  <c r="E198" i="2"/>
  <c r="F198" i="2"/>
  <c r="G198" i="2"/>
  <c r="H198" i="2"/>
  <c r="I198" i="2"/>
  <c r="J198" i="2"/>
  <c r="K198" i="2"/>
  <c r="L198" i="2"/>
  <c r="M198" i="2"/>
  <c r="N198" i="2"/>
  <c r="C193" i="2"/>
  <c r="D193" i="2"/>
  <c r="E193" i="2"/>
  <c r="F193" i="2"/>
  <c r="G193" i="2"/>
  <c r="H193" i="2"/>
  <c r="I193" i="2"/>
  <c r="J193" i="2"/>
  <c r="K193" i="2"/>
  <c r="L193" i="2"/>
  <c r="M193" i="2"/>
  <c r="N193" i="2"/>
  <c r="C188" i="2"/>
  <c r="D188" i="2"/>
  <c r="E188" i="2"/>
  <c r="F188" i="2"/>
  <c r="G188" i="2"/>
  <c r="H188" i="2"/>
  <c r="I188" i="2"/>
  <c r="J188" i="2"/>
  <c r="K188" i="2"/>
  <c r="L188" i="2"/>
  <c r="M188" i="2"/>
  <c r="N188" i="2"/>
  <c r="C183" i="2"/>
  <c r="D183" i="2"/>
  <c r="E183" i="2"/>
  <c r="F183" i="2"/>
  <c r="G183" i="2"/>
  <c r="H183" i="2"/>
  <c r="I183" i="2"/>
  <c r="J183" i="2"/>
  <c r="K183" i="2"/>
  <c r="L183" i="2"/>
  <c r="M183" i="2"/>
  <c r="N183" i="2"/>
  <c r="C178" i="2"/>
  <c r="D178" i="2"/>
  <c r="E178" i="2"/>
  <c r="F178" i="2"/>
  <c r="G178" i="2"/>
  <c r="H178" i="2"/>
  <c r="I178" i="2"/>
  <c r="J178" i="2"/>
  <c r="K178" i="2"/>
  <c r="L178" i="2"/>
  <c r="M178" i="2"/>
  <c r="N178" i="2"/>
  <c r="C173" i="2"/>
  <c r="D173" i="2"/>
  <c r="E173" i="2"/>
  <c r="F173" i="2"/>
  <c r="G173" i="2"/>
  <c r="H173" i="2"/>
  <c r="I173" i="2"/>
  <c r="J173" i="2"/>
  <c r="K173" i="2"/>
  <c r="L173" i="2"/>
  <c r="M173" i="2"/>
  <c r="N173" i="2"/>
  <c r="C168" i="2"/>
  <c r="D168" i="2"/>
  <c r="E168" i="2"/>
  <c r="F168" i="2"/>
  <c r="G168" i="2"/>
  <c r="H168" i="2"/>
  <c r="I168" i="2"/>
  <c r="J168" i="2"/>
  <c r="K168" i="2"/>
  <c r="L168" i="2"/>
  <c r="M168" i="2"/>
  <c r="N168" i="2"/>
  <c r="C161" i="2"/>
  <c r="D161" i="2"/>
  <c r="E161" i="2"/>
  <c r="F161" i="2"/>
  <c r="G161" i="2"/>
  <c r="H161" i="2"/>
  <c r="I161" i="2"/>
  <c r="J161" i="2"/>
  <c r="K161" i="2"/>
  <c r="L161" i="2"/>
  <c r="M161" i="2"/>
  <c r="N161" i="2"/>
  <c r="C156" i="2"/>
  <c r="D156" i="2"/>
  <c r="E156" i="2"/>
  <c r="F156" i="2"/>
  <c r="G156" i="2"/>
  <c r="H156" i="2"/>
  <c r="I156" i="2"/>
  <c r="J156" i="2"/>
  <c r="K156" i="2"/>
  <c r="L156" i="2"/>
  <c r="M156" i="2"/>
  <c r="N156" i="2"/>
  <c r="C151" i="2"/>
  <c r="D151" i="2"/>
  <c r="E151" i="2"/>
  <c r="F151" i="2"/>
  <c r="G151" i="2"/>
  <c r="H151" i="2"/>
  <c r="I151" i="2"/>
  <c r="J151" i="2"/>
  <c r="K151" i="2"/>
  <c r="L151" i="2"/>
  <c r="M151" i="2"/>
  <c r="N151" i="2"/>
  <c r="C146" i="2"/>
  <c r="D146" i="2"/>
  <c r="E146" i="2"/>
  <c r="F146" i="2"/>
  <c r="G146" i="2"/>
  <c r="H146" i="2"/>
  <c r="I146" i="2"/>
  <c r="J146" i="2"/>
  <c r="K146" i="2"/>
  <c r="L146" i="2"/>
  <c r="M146" i="2"/>
  <c r="N146" i="2"/>
  <c r="C141" i="2"/>
  <c r="D141" i="2"/>
  <c r="E141" i="2"/>
  <c r="F141" i="2"/>
  <c r="G141" i="2"/>
  <c r="H141" i="2"/>
  <c r="I141" i="2"/>
  <c r="J141" i="2"/>
  <c r="K141" i="2"/>
  <c r="L141" i="2"/>
  <c r="M141" i="2"/>
  <c r="N141" i="2"/>
  <c r="C136" i="2"/>
  <c r="D136" i="2"/>
  <c r="E136" i="2"/>
  <c r="F136" i="2"/>
  <c r="G136" i="2"/>
  <c r="H136" i="2"/>
  <c r="I136" i="2"/>
  <c r="J136" i="2"/>
  <c r="K136" i="2"/>
  <c r="L136" i="2"/>
  <c r="M136" i="2"/>
  <c r="N136" i="2"/>
  <c r="C131" i="2"/>
  <c r="D131" i="2"/>
  <c r="E131" i="2"/>
  <c r="F131" i="2"/>
  <c r="G131" i="2"/>
  <c r="H131" i="2"/>
  <c r="I131" i="2"/>
  <c r="J131" i="2"/>
  <c r="K131" i="2"/>
  <c r="L131" i="2"/>
  <c r="M131" i="2"/>
  <c r="N131" i="2"/>
  <c r="C126" i="2"/>
  <c r="D126" i="2"/>
  <c r="E126" i="2"/>
  <c r="F126" i="2"/>
  <c r="G126" i="2"/>
  <c r="H126" i="2"/>
  <c r="I126" i="2"/>
  <c r="J126" i="2"/>
  <c r="K126" i="2"/>
  <c r="L126" i="2"/>
  <c r="M126" i="2"/>
  <c r="N126" i="2"/>
  <c r="C121" i="2"/>
  <c r="D121" i="2"/>
  <c r="E121" i="2"/>
  <c r="F121" i="2"/>
  <c r="G121" i="2"/>
  <c r="H121" i="2"/>
  <c r="I121" i="2"/>
  <c r="J121" i="2"/>
  <c r="K121" i="2"/>
  <c r="L121" i="2"/>
  <c r="M121" i="2"/>
  <c r="N121" i="2"/>
  <c r="C114" i="2"/>
  <c r="D114" i="2"/>
  <c r="E114" i="2"/>
  <c r="F114" i="2"/>
  <c r="G114" i="2"/>
  <c r="H114" i="2"/>
  <c r="I114" i="2"/>
  <c r="J114" i="2"/>
  <c r="K114" i="2"/>
  <c r="L114" i="2"/>
  <c r="M114" i="2"/>
  <c r="N114" i="2"/>
  <c r="C17" i="2"/>
  <c r="D17" i="2"/>
  <c r="E17" i="2"/>
  <c r="F17" i="2"/>
  <c r="G17" i="2"/>
  <c r="H17" i="2"/>
  <c r="I17" i="2"/>
  <c r="J17" i="2"/>
  <c r="K17" i="2"/>
  <c r="L17" i="2"/>
  <c r="M17" i="2"/>
  <c r="N17" i="2"/>
  <c r="C29" i="2"/>
  <c r="D29" i="2"/>
  <c r="E29" i="2"/>
  <c r="F29" i="2"/>
  <c r="G29" i="2"/>
  <c r="H29" i="2"/>
  <c r="I29" i="2"/>
  <c r="J29" i="2"/>
  <c r="K29" i="2"/>
  <c r="L29" i="2"/>
  <c r="M29" i="2"/>
  <c r="N29" i="2"/>
  <c r="C36" i="2"/>
  <c r="D36" i="2"/>
  <c r="E36" i="2"/>
  <c r="F36" i="2"/>
  <c r="G36" i="2"/>
  <c r="H36" i="2"/>
  <c r="I36" i="2"/>
  <c r="J36" i="2"/>
  <c r="K36" i="2"/>
  <c r="L36" i="2"/>
  <c r="M36" i="2"/>
  <c r="N36" i="2"/>
  <c r="C43" i="2"/>
  <c r="D43" i="2"/>
  <c r="E43" i="2"/>
  <c r="F43" i="2"/>
  <c r="G43" i="2"/>
  <c r="H43" i="2"/>
  <c r="I43" i="2"/>
  <c r="J43" i="2"/>
  <c r="K43" i="2"/>
  <c r="L43" i="2"/>
  <c r="M43" i="2"/>
  <c r="N43" i="2"/>
  <c r="C48" i="2"/>
  <c r="D48" i="2"/>
  <c r="E48" i="2"/>
  <c r="F48" i="2"/>
  <c r="G48" i="2"/>
  <c r="H48" i="2"/>
  <c r="I48" i="2"/>
  <c r="J48" i="2"/>
  <c r="K48" i="2"/>
  <c r="L48" i="2"/>
  <c r="M48" i="2"/>
  <c r="N48" i="2"/>
  <c r="C53" i="2"/>
  <c r="D53" i="2"/>
  <c r="E53" i="2"/>
  <c r="F53" i="2"/>
  <c r="G53" i="2"/>
  <c r="H53" i="2"/>
  <c r="I53" i="2"/>
  <c r="J53" i="2"/>
  <c r="K53" i="2"/>
  <c r="L53" i="2"/>
  <c r="M53" i="2"/>
  <c r="N53" i="2"/>
  <c r="C61" i="2"/>
  <c r="D61" i="2"/>
  <c r="E61" i="2"/>
  <c r="F61" i="2"/>
  <c r="G61" i="2"/>
  <c r="H61" i="2"/>
  <c r="I61" i="2"/>
  <c r="J61" i="2"/>
  <c r="K61" i="2"/>
  <c r="L61" i="2"/>
  <c r="M61" i="2"/>
  <c r="N61" i="2"/>
  <c r="C68" i="2"/>
  <c r="D68" i="2"/>
  <c r="E68" i="2"/>
  <c r="F68" i="2"/>
  <c r="G68" i="2"/>
  <c r="H68" i="2"/>
  <c r="I68" i="2"/>
  <c r="J68" i="2"/>
  <c r="K68" i="2"/>
  <c r="L68" i="2"/>
  <c r="M68" i="2"/>
  <c r="N68" i="2"/>
  <c r="C73" i="2"/>
  <c r="D73" i="2"/>
  <c r="E73" i="2"/>
  <c r="F73" i="2"/>
  <c r="G73" i="2"/>
  <c r="H73" i="2"/>
  <c r="I73" i="2"/>
  <c r="J73" i="2"/>
  <c r="K73" i="2"/>
  <c r="L73" i="2"/>
  <c r="M73" i="2"/>
  <c r="N73" i="2"/>
  <c r="C78" i="2"/>
  <c r="D78" i="2"/>
  <c r="E78" i="2"/>
  <c r="F78" i="2"/>
  <c r="G78" i="2"/>
  <c r="H78" i="2"/>
  <c r="I78" i="2"/>
  <c r="J78" i="2"/>
  <c r="K78" i="2"/>
  <c r="L78" i="2"/>
  <c r="M78" i="2"/>
  <c r="N78" i="2"/>
  <c r="C87" i="2"/>
  <c r="D87" i="2"/>
  <c r="E87" i="2"/>
  <c r="F87" i="2"/>
  <c r="G87" i="2"/>
  <c r="H87" i="2"/>
  <c r="I87" i="2"/>
  <c r="J87" i="2"/>
  <c r="K87" i="2"/>
  <c r="L87" i="2"/>
  <c r="M87" i="2"/>
  <c r="N87" i="2"/>
  <c r="C92" i="2"/>
  <c r="D92" i="2"/>
  <c r="E92" i="2"/>
  <c r="F92" i="2"/>
  <c r="G92" i="2"/>
  <c r="H92" i="2"/>
  <c r="I92" i="2"/>
  <c r="J92" i="2"/>
  <c r="K92" i="2"/>
  <c r="L92" i="2"/>
  <c r="M92" i="2"/>
  <c r="N92" i="2"/>
  <c r="C99" i="2"/>
  <c r="D99" i="2"/>
  <c r="E99" i="2"/>
  <c r="F99" i="2"/>
  <c r="G99" i="2"/>
  <c r="H99" i="2"/>
  <c r="I99" i="2"/>
  <c r="J99" i="2"/>
  <c r="K99" i="2"/>
  <c r="L99" i="2"/>
  <c r="M99" i="2"/>
  <c r="N99" i="2"/>
  <c r="D109" i="2"/>
  <c r="E109" i="2"/>
  <c r="F109" i="2"/>
  <c r="G109" i="2"/>
  <c r="H109" i="2"/>
  <c r="I109" i="2"/>
  <c r="J109" i="2"/>
  <c r="K109" i="2"/>
  <c r="L109" i="2"/>
  <c r="M109" i="2"/>
  <c r="N109" i="2"/>
  <c r="C109" i="2"/>
  <c r="D104" i="2"/>
  <c r="E104" i="2"/>
  <c r="F104" i="2"/>
  <c r="G104" i="2"/>
  <c r="H104" i="2"/>
  <c r="I104" i="2"/>
  <c r="J104" i="2"/>
  <c r="K104" i="2"/>
  <c r="L104" i="2"/>
  <c r="M104" i="2"/>
  <c r="N104" i="2"/>
  <c r="C104" i="2"/>
  <c r="O275" i="2"/>
  <c r="O270" i="2"/>
  <c r="O265" i="2"/>
  <c r="O260" i="2"/>
  <c r="O255" i="2"/>
  <c r="O250" i="2"/>
  <c r="O245" i="2"/>
  <c r="O240" i="2"/>
  <c r="O235" i="2"/>
  <c r="O230" i="2"/>
  <c r="O225" i="2"/>
  <c r="O220" i="2"/>
  <c r="O215" i="2"/>
  <c r="O210" i="2"/>
  <c r="O203" i="2"/>
  <c r="O198" i="2"/>
  <c r="O193" i="2"/>
  <c r="O188" i="2"/>
  <c r="O183" i="2"/>
  <c r="O178" i="2"/>
  <c r="O173" i="2"/>
  <c r="O168" i="2"/>
  <c r="O161" i="2"/>
  <c r="O156" i="2"/>
  <c r="O151" i="2"/>
  <c r="O146" i="2"/>
  <c r="O141" i="2"/>
  <c r="O136" i="2"/>
  <c r="O131" i="2"/>
  <c r="O126" i="2"/>
  <c r="O121" i="2"/>
  <c r="O114" i="2"/>
  <c r="O109" i="2"/>
  <c r="O104" i="2"/>
  <c r="O99" i="2"/>
  <c r="O92" i="2"/>
  <c r="O87" i="2"/>
  <c r="O78" i="2"/>
  <c r="O73" i="2"/>
  <c r="O68" i="2"/>
  <c r="O61" i="2"/>
  <c r="O53" i="2"/>
  <c r="O43" i="2"/>
  <c r="O36" i="2"/>
  <c r="O29" i="2"/>
  <c r="C285" i="2" l="1"/>
  <c r="F14" i="5" l="1"/>
  <c r="C4" i="4" l="1"/>
  <c r="C3" i="21"/>
  <c r="C3" i="4"/>
  <c r="C2" i="21"/>
  <c r="C2" i="2"/>
  <c r="B45" i="7" s="1"/>
  <c r="C2" i="3"/>
  <c r="B1" i="21"/>
  <c r="M15" i="9" l="1"/>
  <c r="M16" i="9"/>
  <c r="M30" i="9"/>
  <c r="M31" i="9"/>
  <c r="M32" i="9"/>
  <c r="M33" i="9"/>
  <c r="M34" i="9"/>
  <c r="M35" i="9"/>
  <c r="O12" i="2" l="1"/>
  <c r="C2" i="17" l="1"/>
  <c r="C2" i="13"/>
  <c r="C2" i="9"/>
  <c r="C2" i="4"/>
  <c r="D55" i="18" l="1"/>
  <c r="D55" i="14"/>
  <c r="H55" i="18"/>
  <c r="H55" i="14"/>
  <c r="C45" i="10"/>
  <c r="G54" i="5"/>
  <c r="C54" i="5"/>
  <c r="F44" i="20"/>
  <c r="F44" i="16"/>
  <c r="F44" i="12"/>
  <c r="G35" i="19"/>
  <c r="G35" i="15"/>
  <c r="G50" i="5"/>
  <c r="C50" i="5"/>
  <c r="C37" i="6"/>
  <c r="C42" i="5"/>
  <c r="O11" i="9" l="1"/>
  <c r="O32" i="2" l="1"/>
  <c r="O9" i="2"/>
  <c r="O10" i="2"/>
  <c r="O11" i="2"/>
  <c r="B1" i="13" l="1"/>
  <c r="C3" i="13"/>
  <c r="C5" i="13"/>
  <c r="N11" i="13"/>
  <c r="E14" i="13"/>
  <c r="F14" i="13"/>
  <c r="E15" i="13"/>
  <c r="F15" i="13"/>
  <c r="C16" i="13"/>
  <c r="D16" i="13"/>
  <c r="E18" i="13"/>
  <c r="F18" i="13"/>
  <c r="E19" i="13"/>
  <c r="F19" i="13"/>
  <c r="E20" i="13"/>
  <c r="F20" i="13"/>
  <c r="E21" i="13"/>
  <c r="F21" i="13"/>
  <c r="C22" i="13"/>
  <c r="D22" i="13"/>
  <c r="I22" i="13"/>
  <c r="E24" i="13"/>
  <c r="F24" i="13"/>
  <c r="E25" i="13"/>
  <c r="F25" i="13"/>
  <c r="E26" i="13"/>
  <c r="F26" i="13"/>
  <c r="C27" i="13"/>
  <c r="D27" i="13"/>
  <c r="E29" i="13"/>
  <c r="F29" i="13"/>
  <c r="E30" i="13"/>
  <c r="F30" i="13"/>
  <c r="E31" i="13"/>
  <c r="F31" i="13"/>
  <c r="E32" i="13"/>
  <c r="F32" i="13"/>
  <c r="E33" i="13"/>
  <c r="F33" i="13"/>
  <c r="E34" i="13"/>
  <c r="F34" i="13"/>
  <c r="C35" i="13"/>
  <c r="D35" i="13"/>
  <c r="E37" i="13"/>
  <c r="F37" i="13"/>
  <c r="E38" i="13"/>
  <c r="F38" i="13"/>
  <c r="E39" i="13"/>
  <c r="F39" i="13"/>
  <c r="E40" i="13"/>
  <c r="F40" i="13"/>
  <c r="C41" i="13"/>
  <c r="D41" i="13"/>
  <c r="E43" i="13"/>
  <c r="F43" i="13"/>
  <c r="E44" i="13"/>
  <c r="F44" i="13"/>
  <c r="E45" i="13"/>
  <c r="F45" i="13"/>
  <c r="E46" i="13"/>
  <c r="F46" i="13"/>
  <c r="E47" i="13"/>
  <c r="F47" i="13"/>
  <c r="E48" i="13"/>
  <c r="F48" i="13"/>
  <c r="E49" i="13"/>
  <c r="F49" i="13"/>
  <c r="E50" i="13"/>
  <c r="F50" i="13"/>
  <c r="E51" i="13"/>
  <c r="F51" i="13"/>
  <c r="C52" i="13"/>
  <c r="D52" i="13"/>
  <c r="E54" i="13"/>
  <c r="F54" i="13"/>
  <c r="E55" i="13"/>
  <c r="F55" i="13"/>
  <c r="E56" i="13"/>
  <c r="F56" i="13"/>
  <c r="E57" i="13"/>
  <c r="F57" i="13"/>
  <c r="E58" i="13"/>
  <c r="F58" i="13"/>
  <c r="E59" i="13"/>
  <c r="F59" i="13"/>
  <c r="E60" i="13"/>
  <c r="F60" i="13"/>
  <c r="E61" i="13"/>
  <c r="F61" i="13"/>
  <c r="C62" i="13"/>
  <c r="D62" i="13"/>
  <c r="E64" i="13"/>
  <c r="F64" i="13"/>
  <c r="E65" i="13"/>
  <c r="F65" i="13"/>
  <c r="E66" i="13"/>
  <c r="F66" i="13"/>
  <c r="E67" i="13"/>
  <c r="F67" i="13"/>
  <c r="E68" i="13"/>
  <c r="F68" i="13"/>
  <c r="E69" i="13"/>
  <c r="F69" i="13"/>
  <c r="E70" i="13"/>
  <c r="F70" i="13"/>
  <c r="E71" i="13"/>
  <c r="F71" i="13"/>
  <c r="E72" i="13"/>
  <c r="F72" i="13"/>
  <c r="E73" i="13"/>
  <c r="F73" i="13"/>
  <c r="E74" i="13"/>
  <c r="F74" i="13"/>
  <c r="E75" i="13"/>
  <c r="F75" i="13"/>
  <c r="E76" i="13"/>
  <c r="F76" i="13"/>
  <c r="E77" i="13"/>
  <c r="F77" i="13"/>
  <c r="C78" i="13"/>
  <c r="D78" i="13"/>
  <c r="E81" i="13"/>
  <c r="F81" i="13"/>
  <c r="F16" i="13" l="1"/>
  <c r="E78" i="13"/>
  <c r="E52" i="13"/>
  <c r="E62" i="13"/>
  <c r="E35" i="13"/>
  <c r="F52" i="13"/>
  <c r="F62" i="13"/>
  <c r="E27" i="13"/>
  <c r="E16" i="13"/>
  <c r="E22" i="13"/>
  <c r="F22" i="13"/>
  <c r="D80" i="13"/>
  <c r="F41" i="13"/>
  <c r="F27" i="13"/>
  <c r="F78" i="13"/>
  <c r="E41" i="13"/>
  <c r="F35" i="13"/>
  <c r="C80" i="13"/>
  <c r="E80" i="13" l="1"/>
  <c r="G35" i="13"/>
  <c r="G78" i="13"/>
  <c r="G80" i="13"/>
  <c r="G16" i="13"/>
  <c r="G52" i="13"/>
  <c r="G41" i="13"/>
  <c r="G22" i="13"/>
  <c r="G27" i="13"/>
  <c r="G62" i="13"/>
  <c r="F80" i="13"/>
  <c r="AC33" i="1" l="1"/>
  <c r="AB33" i="1" s="1"/>
  <c r="I33" i="1" s="1"/>
  <c r="H35" i="1"/>
  <c r="H34" i="1"/>
  <c r="AD32" i="1"/>
  <c r="AC32" i="1" s="1"/>
  <c r="J32" i="1" s="1"/>
  <c r="AD31" i="1"/>
  <c r="AC31" i="1" s="1"/>
  <c r="J31" i="1" s="1"/>
  <c r="AC38" i="1"/>
  <c r="AB38" i="1" s="1"/>
  <c r="I38" i="1" s="1"/>
  <c r="D78" i="17"/>
  <c r="C78" i="17"/>
  <c r="F77" i="17"/>
  <c r="E77" i="17"/>
  <c r="F76" i="17"/>
  <c r="E76" i="17"/>
  <c r="F75" i="17"/>
  <c r="E75" i="17"/>
  <c r="F74" i="17"/>
  <c r="E74" i="17"/>
  <c r="F73" i="17"/>
  <c r="E73" i="17"/>
  <c r="F72" i="17"/>
  <c r="E72" i="17"/>
  <c r="F71" i="17"/>
  <c r="E71" i="17"/>
  <c r="F70" i="17"/>
  <c r="E70" i="17"/>
  <c r="F69" i="17"/>
  <c r="E69" i="17"/>
  <c r="F68" i="17"/>
  <c r="E68" i="17"/>
  <c r="F67" i="17"/>
  <c r="E67" i="17"/>
  <c r="F66" i="17"/>
  <c r="E66" i="17"/>
  <c r="F65" i="17"/>
  <c r="E65" i="17"/>
  <c r="F64" i="17"/>
  <c r="E64" i="17"/>
  <c r="D62" i="17"/>
  <c r="C62" i="17"/>
  <c r="F61" i="17"/>
  <c r="E61" i="17"/>
  <c r="F60" i="17"/>
  <c r="E60" i="17"/>
  <c r="F59" i="17"/>
  <c r="E59" i="17"/>
  <c r="F58" i="17"/>
  <c r="E58" i="17"/>
  <c r="F57" i="17"/>
  <c r="E57" i="17"/>
  <c r="F56" i="17"/>
  <c r="E56" i="17"/>
  <c r="F55" i="17"/>
  <c r="E55" i="17"/>
  <c r="F54" i="17"/>
  <c r="E54" i="17"/>
  <c r="D52" i="17"/>
  <c r="C52" i="17"/>
  <c r="F51" i="17"/>
  <c r="E51" i="17"/>
  <c r="F50" i="17"/>
  <c r="E50" i="17"/>
  <c r="F49" i="17"/>
  <c r="E49" i="17"/>
  <c r="F48" i="17"/>
  <c r="E48" i="17"/>
  <c r="F47" i="17"/>
  <c r="E47" i="17"/>
  <c r="F46" i="17"/>
  <c r="E46" i="17"/>
  <c r="F45" i="17"/>
  <c r="E45" i="17"/>
  <c r="F44" i="17"/>
  <c r="E44" i="17"/>
  <c r="F43" i="17"/>
  <c r="E43" i="17"/>
  <c r="D41" i="17"/>
  <c r="C41" i="17"/>
  <c r="F40" i="17"/>
  <c r="E40" i="17"/>
  <c r="F39" i="17"/>
  <c r="E39" i="17"/>
  <c r="F38" i="17"/>
  <c r="E38" i="17"/>
  <c r="F37" i="17"/>
  <c r="E37" i="17"/>
  <c r="D35" i="17"/>
  <c r="C35" i="17"/>
  <c r="F34" i="17"/>
  <c r="E34" i="17"/>
  <c r="F33" i="17"/>
  <c r="E33" i="17"/>
  <c r="F32" i="17"/>
  <c r="E32" i="17"/>
  <c r="F31" i="17"/>
  <c r="E31" i="17"/>
  <c r="F30" i="17"/>
  <c r="E30" i="17"/>
  <c r="F29" i="17"/>
  <c r="E29" i="17"/>
  <c r="D27" i="17"/>
  <c r="C27" i="17"/>
  <c r="F26" i="17"/>
  <c r="E26" i="17"/>
  <c r="F25" i="17"/>
  <c r="E25" i="17"/>
  <c r="F24" i="17"/>
  <c r="E24" i="17"/>
  <c r="D22" i="17"/>
  <c r="C22" i="17"/>
  <c r="F21" i="17"/>
  <c r="E21" i="17"/>
  <c r="F20" i="17"/>
  <c r="E20" i="17"/>
  <c r="F19" i="17"/>
  <c r="E19" i="17"/>
  <c r="F18" i="17"/>
  <c r="E18" i="17"/>
  <c r="D16" i="17"/>
  <c r="C16" i="17"/>
  <c r="F15" i="17"/>
  <c r="E15" i="17"/>
  <c r="F14" i="17"/>
  <c r="E14" i="17"/>
  <c r="D78" i="4"/>
  <c r="C78" i="4"/>
  <c r="F77" i="4"/>
  <c r="E77" i="4"/>
  <c r="F76" i="4"/>
  <c r="E76" i="4"/>
  <c r="F75" i="4"/>
  <c r="E75" i="4"/>
  <c r="F74" i="4"/>
  <c r="E74" i="4"/>
  <c r="F73" i="4"/>
  <c r="E73" i="4"/>
  <c r="F72" i="4"/>
  <c r="E72" i="4"/>
  <c r="F71" i="4"/>
  <c r="E71" i="4"/>
  <c r="F70" i="4"/>
  <c r="E70" i="4"/>
  <c r="F69" i="4"/>
  <c r="E69" i="4"/>
  <c r="F68" i="4"/>
  <c r="E68" i="4"/>
  <c r="F67" i="4"/>
  <c r="E67" i="4"/>
  <c r="F66" i="4"/>
  <c r="E66" i="4"/>
  <c r="F65" i="4"/>
  <c r="E65" i="4"/>
  <c r="F64" i="4"/>
  <c r="E64" i="4"/>
  <c r="D62" i="4"/>
  <c r="C62" i="4"/>
  <c r="F61" i="4"/>
  <c r="E61" i="4"/>
  <c r="F60" i="4"/>
  <c r="E60" i="4"/>
  <c r="F59" i="4"/>
  <c r="E59" i="4"/>
  <c r="F58" i="4"/>
  <c r="E58" i="4"/>
  <c r="F57" i="4"/>
  <c r="E57" i="4"/>
  <c r="F56" i="4"/>
  <c r="E56" i="4"/>
  <c r="F55" i="4"/>
  <c r="E55" i="4"/>
  <c r="F54" i="4"/>
  <c r="E54" i="4"/>
  <c r="D52" i="4"/>
  <c r="C52" i="4"/>
  <c r="F51" i="4"/>
  <c r="E51" i="4"/>
  <c r="F50" i="4"/>
  <c r="E50" i="4"/>
  <c r="F49" i="4"/>
  <c r="E49" i="4"/>
  <c r="F48" i="4"/>
  <c r="E48" i="4"/>
  <c r="F47" i="4"/>
  <c r="E47" i="4"/>
  <c r="F46" i="4"/>
  <c r="E46" i="4"/>
  <c r="F45" i="4"/>
  <c r="E45" i="4"/>
  <c r="F44" i="4"/>
  <c r="E44" i="4"/>
  <c r="F43" i="4"/>
  <c r="E43" i="4"/>
  <c r="D41" i="4"/>
  <c r="C41" i="4"/>
  <c r="F40" i="4"/>
  <c r="E40" i="4"/>
  <c r="F39" i="4"/>
  <c r="E39" i="4"/>
  <c r="F38" i="4"/>
  <c r="E38" i="4"/>
  <c r="F37" i="4"/>
  <c r="E37" i="4"/>
  <c r="D35" i="4"/>
  <c r="C35" i="4"/>
  <c r="F34" i="4"/>
  <c r="E34" i="4"/>
  <c r="F33" i="4"/>
  <c r="E33" i="4"/>
  <c r="F32" i="4"/>
  <c r="E32" i="4"/>
  <c r="F31" i="4"/>
  <c r="E31" i="4"/>
  <c r="F30" i="4"/>
  <c r="E30" i="4"/>
  <c r="F29" i="4"/>
  <c r="E29" i="4"/>
  <c r="D27" i="4"/>
  <c r="C27" i="4"/>
  <c r="F26" i="4"/>
  <c r="E26" i="4"/>
  <c r="F25" i="4"/>
  <c r="E25" i="4"/>
  <c r="F24" i="4"/>
  <c r="E24" i="4"/>
  <c r="D22" i="4"/>
  <c r="C22" i="4"/>
  <c r="F21" i="4"/>
  <c r="E21" i="4"/>
  <c r="F20" i="4"/>
  <c r="E20" i="4"/>
  <c r="F19" i="4"/>
  <c r="E19" i="4"/>
  <c r="F18" i="4"/>
  <c r="E18" i="4"/>
  <c r="D16" i="4"/>
  <c r="C16" i="4"/>
  <c r="F15" i="4"/>
  <c r="E15" i="4"/>
  <c r="F14" i="4"/>
  <c r="E14" i="4"/>
  <c r="F77" i="9"/>
  <c r="F76" i="9"/>
  <c r="F75" i="9"/>
  <c r="F74" i="9"/>
  <c r="F73" i="9"/>
  <c r="F72" i="9"/>
  <c r="F71" i="9"/>
  <c r="F70" i="9"/>
  <c r="F69" i="9"/>
  <c r="F68" i="9"/>
  <c r="F67" i="9"/>
  <c r="F66" i="9"/>
  <c r="F65" i="9"/>
  <c r="F64" i="9"/>
  <c r="F61" i="9"/>
  <c r="F60" i="9"/>
  <c r="F59" i="9"/>
  <c r="F58" i="9"/>
  <c r="F57" i="9"/>
  <c r="F56" i="9"/>
  <c r="F55" i="9"/>
  <c r="F54" i="9"/>
  <c r="F51" i="9"/>
  <c r="F50" i="9"/>
  <c r="F49" i="9"/>
  <c r="F48" i="9"/>
  <c r="F47" i="9"/>
  <c r="F46" i="9"/>
  <c r="F45" i="9"/>
  <c r="F44" i="9"/>
  <c r="F43" i="9"/>
  <c r="F40" i="9"/>
  <c r="F39" i="9"/>
  <c r="F38" i="9"/>
  <c r="F37" i="9"/>
  <c r="F34" i="9"/>
  <c r="F33" i="9"/>
  <c r="F32" i="9"/>
  <c r="F31" i="9"/>
  <c r="F30" i="9"/>
  <c r="F29" i="9"/>
  <c r="F26" i="9"/>
  <c r="F25" i="9"/>
  <c r="F24" i="9"/>
  <c r="F21" i="9"/>
  <c r="F20" i="9"/>
  <c r="F19" i="9"/>
  <c r="F18" i="9"/>
  <c r="F15" i="9"/>
  <c r="F14" i="9"/>
  <c r="K25" i="1"/>
  <c r="C1" i="20"/>
  <c r="C1" i="19"/>
  <c r="D1" i="18"/>
  <c r="D5" i="17"/>
  <c r="C1" i="16"/>
  <c r="C1" i="15"/>
  <c r="D1" i="14"/>
  <c r="C1" i="12"/>
  <c r="C1" i="11"/>
  <c r="C1" i="10"/>
  <c r="C5" i="9"/>
  <c r="C1" i="7"/>
  <c r="B1" i="7"/>
  <c r="C1" i="6"/>
  <c r="C1" i="5"/>
  <c r="G5" i="4"/>
  <c r="F5" i="4"/>
  <c r="E5" i="4"/>
  <c r="D5" i="4"/>
  <c r="C5" i="4"/>
  <c r="B1" i="3"/>
  <c r="B3" i="2"/>
  <c r="B1" i="1"/>
  <c r="G292" i="2"/>
  <c r="D292" i="2"/>
  <c r="G286" i="2"/>
  <c r="D286" i="2"/>
  <c r="D46" i="3"/>
  <c r="K46" i="3" s="1"/>
  <c r="D45" i="3"/>
  <c r="K45" i="3" s="1"/>
  <c r="D44" i="3"/>
  <c r="D43" i="3"/>
  <c r="K43" i="3" s="1"/>
  <c r="C46" i="3"/>
  <c r="J46" i="3" s="1"/>
  <c r="C45" i="3"/>
  <c r="J45" i="3" s="1"/>
  <c r="C44" i="3"/>
  <c r="J44" i="3" s="1"/>
  <c r="C43" i="3"/>
  <c r="J43" i="3" s="1"/>
  <c r="D2" i="20"/>
  <c r="D3" i="19"/>
  <c r="D2" i="19"/>
  <c r="E3" i="18"/>
  <c r="E2" i="18"/>
  <c r="C3" i="17"/>
  <c r="H48" i="18" s="1"/>
  <c r="B44" i="20"/>
  <c r="D2" i="16"/>
  <c r="D3" i="15"/>
  <c r="D2" i="15"/>
  <c r="E3" i="14"/>
  <c r="E2" i="14"/>
  <c r="H48" i="14"/>
  <c r="B44" i="16"/>
  <c r="D2" i="12"/>
  <c r="D3" i="11"/>
  <c r="D2" i="11"/>
  <c r="D3" i="10"/>
  <c r="D2" i="10"/>
  <c r="C3" i="9"/>
  <c r="C42" i="10" s="1"/>
  <c r="C34" i="10"/>
  <c r="D3" i="7"/>
  <c r="D2" i="7"/>
  <c r="D4" i="6"/>
  <c r="D3" i="6"/>
  <c r="D2" i="6"/>
  <c r="D3" i="5"/>
  <c r="D4" i="5"/>
  <c r="D2" i="5"/>
  <c r="H42" i="1"/>
  <c r="H41" i="1"/>
  <c r="AC40" i="1"/>
  <c r="AB40" i="1" s="1"/>
  <c r="C4" i="3"/>
  <c r="C3" i="3"/>
  <c r="J3" i="2"/>
  <c r="J2" i="2"/>
  <c r="AC39" i="1"/>
  <c r="AB39" i="1" s="1"/>
  <c r="I39" i="1" s="1"/>
  <c r="AC5" i="1"/>
  <c r="AB5" i="1" s="1"/>
  <c r="AA5" i="1" s="1"/>
  <c r="B5" i="1" s="1"/>
  <c r="C4" i="21" s="1"/>
  <c r="H292" i="2"/>
  <c r="C290" i="2"/>
  <c r="H286" i="2"/>
  <c r="C284" i="2"/>
  <c r="C283" i="2"/>
  <c r="C282" i="2"/>
  <c r="C286" i="2" s="1"/>
  <c r="O64" i="2"/>
  <c r="F90" i="13"/>
  <c r="H90" i="13" s="1"/>
  <c r="F91" i="13"/>
  <c r="H91" i="13" s="1"/>
  <c r="F92" i="13"/>
  <c r="H92" i="13" s="1"/>
  <c r="F93" i="13"/>
  <c r="H93" i="13" s="1"/>
  <c r="F94" i="13"/>
  <c r="H94" i="13" s="1"/>
  <c r="F95" i="13"/>
  <c r="H95" i="13" s="1"/>
  <c r="F98" i="13"/>
  <c r="H98" i="13" s="1"/>
  <c r="F99" i="13"/>
  <c r="H99" i="13" s="1"/>
  <c r="F100" i="13"/>
  <c r="H100" i="13" s="1"/>
  <c r="C5" i="20"/>
  <c r="C5" i="16"/>
  <c r="C5" i="12"/>
  <c r="C6" i="7"/>
  <c r="M78" i="9"/>
  <c r="M77" i="9"/>
  <c r="M76" i="9"/>
  <c r="M75" i="9"/>
  <c r="M74" i="9"/>
  <c r="M73" i="9"/>
  <c r="M72" i="9"/>
  <c r="M71" i="9"/>
  <c r="M70" i="9"/>
  <c r="M69" i="9"/>
  <c r="M68" i="9"/>
  <c r="M67" i="9"/>
  <c r="M66" i="9"/>
  <c r="M65" i="9"/>
  <c r="M62" i="9"/>
  <c r="M61" i="9"/>
  <c r="M60" i="9"/>
  <c r="M59" i="9"/>
  <c r="M58" i="9"/>
  <c r="M57" i="9"/>
  <c r="M56" i="9"/>
  <c r="M55" i="9"/>
  <c r="M52" i="9"/>
  <c r="M51" i="9"/>
  <c r="M50" i="9"/>
  <c r="M49" i="9"/>
  <c r="M48" i="9"/>
  <c r="M47" i="9"/>
  <c r="M46" i="9"/>
  <c r="M45" i="9"/>
  <c r="M44" i="9"/>
  <c r="M41" i="9"/>
  <c r="M40" i="9"/>
  <c r="M39" i="9"/>
  <c r="M38" i="9"/>
  <c r="M27" i="9"/>
  <c r="M26" i="9"/>
  <c r="M25" i="9"/>
  <c r="M21" i="9"/>
  <c r="I22" i="1"/>
  <c r="I27" i="1"/>
  <c r="G26" i="1"/>
  <c r="AD24" i="1"/>
  <c r="AC24" i="1" s="1"/>
  <c r="AB24" i="1" s="1"/>
  <c r="F23" i="1"/>
  <c r="AB19" i="1"/>
  <c r="AA19" i="1" s="1"/>
  <c r="F19" i="1" s="1"/>
  <c r="H17" i="1"/>
  <c r="AD20" i="1"/>
  <c r="AC20" i="1" s="1"/>
  <c r="I21" i="1"/>
  <c r="C113" i="5"/>
  <c r="O82" i="2"/>
  <c r="B3" i="20"/>
  <c r="B4" i="19"/>
  <c r="C4" i="18"/>
  <c r="B1" i="17"/>
  <c r="B3" i="16"/>
  <c r="B4" i="15"/>
  <c r="C4" i="14"/>
  <c r="C288" i="2"/>
  <c r="C291" i="2"/>
  <c r="C289" i="2"/>
  <c r="C84" i="4"/>
  <c r="E82" i="13"/>
  <c r="F11" i="14"/>
  <c r="F81" i="17"/>
  <c r="E81" i="17"/>
  <c r="E82" i="17" s="1"/>
  <c r="I22" i="17"/>
  <c r="D82" i="17"/>
  <c r="C101" i="13"/>
  <c r="I83" i="13" s="1"/>
  <c r="K83" i="13" s="1"/>
  <c r="I12" i="14"/>
  <c r="I11" i="14"/>
  <c r="I10" i="14"/>
  <c r="G12" i="14"/>
  <c r="G11" i="14"/>
  <c r="G10" i="14"/>
  <c r="E12" i="14"/>
  <c r="E11" i="14"/>
  <c r="E10" i="14"/>
  <c r="G100" i="9"/>
  <c r="D78" i="9"/>
  <c r="C78" i="9"/>
  <c r="E77" i="9"/>
  <c r="E76" i="9"/>
  <c r="E75" i="9"/>
  <c r="E74" i="9"/>
  <c r="E73" i="9"/>
  <c r="E72" i="9"/>
  <c r="E71" i="9"/>
  <c r="E70" i="9"/>
  <c r="E69" i="9"/>
  <c r="E68" i="9"/>
  <c r="E67" i="9"/>
  <c r="E66" i="9"/>
  <c r="E65" i="9"/>
  <c r="E64" i="9"/>
  <c r="D62" i="9"/>
  <c r="C62" i="9"/>
  <c r="E61" i="9"/>
  <c r="E60" i="9"/>
  <c r="E59" i="9"/>
  <c r="E58" i="9"/>
  <c r="E57" i="9"/>
  <c r="E56" i="9"/>
  <c r="E55" i="9"/>
  <c r="E54" i="9"/>
  <c r="D52" i="9"/>
  <c r="C52" i="9"/>
  <c r="E51" i="9"/>
  <c r="E50" i="9"/>
  <c r="E49" i="9"/>
  <c r="E48" i="9"/>
  <c r="E47" i="9"/>
  <c r="E46" i="9"/>
  <c r="E45" i="9"/>
  <c r="E44" i="9"/>
  <c r="E43" i="9"/>
  <c r="D41" i="9"/>
  <c r="C41" i="9"/>
  <c r="E40" i="9"/>
  <c r="E39" i="9"/>
  <c r="E38" i="9"/>
  <c r="E37" i="9"/>
  <c r="D35" i="9"/>
  <c r="C35" i="9"/>
  <c r="E34" i="9"/>
  <c r="E33" i="9"/>
  <c r="E32" i="9"/>
  <c r="E31" i="9"/>
  <c r="E30" i="9"/>
  <c r="E29" i="9"/>
  <c r="D27" i="9"/>
  <c r="C27" i="9"/>
  <c r="E26" i="9"/>
  <c r="E25" i="9"/>
  <c r="E24" i="9"/>
  <c r="D22" i="9"/>
  <c r="C22" i="9"/>
  <c r="E21" i="9"/>
  <c r="E20" i="9"/>
  <c r="E19" i="9"/>
  <c r="E18" i="9"/>
  <c r="D16" i="9"/>
  <c r="E16" i="9" s="1"/>
  <c r="C16" i="9"/>
  <c r="E15" i="9"/>
  <c r="E14" i="9"/>
  <c r="H14" i="5"/>
  <c r="D14" i="5"/>
  <c r="H12" i="5"/>
  <c r="F12" i="5"/>
  <c r="D12" i="5"/>
  <c r="G25" i="20"/>
  <c r="D7" i="20" s="1"/>
  <c r="C10" i="18"/>
  <c r="E10" i="18"/>
  <c r="F10" i="18"/>
  <c r="G10" i="18"/>
  <c r="H10" i="18"/>
  <c r="I10" i="18"/>
  <c r="C11" i="18"/>
  <c r="E11" i="18"/>
  <c r="F11" i="18"/>
  <c r="G11" i="18"/>
  <c r="H11" i="18"/>
  <c r="I11" i="18"/>
  <c r="C12" i="18"/>
  <c r="E12" i="18"/>
  <c r="F12" i="18"/>
  <c r="G12" i="18"/>
  <c r="H12" i="18"/>
  <c r="I12" i="18"/>
  <c r="I95" i="17"/>
  <c r="J95" i="17" s="1"/>
  <c r="I96" i="17"/>
  <c r="J96" i="17" s="1"/>
  <c r="I97" i="17"/>
  <c r="J97" i="17" s="1"/>
  <c r="G98" i="17"/>
  <c r="I83" i="17" s="1"/>
  <c r="K83" i="17" s="1"/>
  <c r="G25" i="16"/>
  <c r="D7" i="16" s="1"/>
  <c r="C10" i="14"/>
  <c r="F10" i="14"/>
  <c r="H10" i="14"/>
  <c r="C11" i="14"/>
  <c r="H11" i="14"/>
  <c r="C12" i="14"/>
  <c r="F12" i="14"/>
  <c r="H12" i="14"/>
  <c r="G25" i="12"/>
  <c r="I98" i="10" s="1"/>
  <c r="D11" i="10"/>
  <c r="F11" i="10"/>
  <c r="G11" i="10"/>
  <c r="H11" i="10"/>
  <c r="D13" i="10"/>
  <c r="F13" i="10"/>
  <c r="G13" i="10"/>
  <c r="H13" i="10"/>
  <c r="I77" i="17"/>
  <c r="J77" i="17" s="1"/>
  <c r="I76" i="17"/>
  <c r="J76" i="17" s="1"/>
  <c r="I75" i="17"/>
  <c r="J75" i="17" s="1"/>
  <c r="I74" i="17"/>
  <c r="J74" i="17" s="1"/>
  <c r="I73" i="17"/>
  <c r="J73" i="17" s="1"/>
  <c r="I72" i="17"/>
  <c r="J72" i="17" s="1"/>
  <c r="I71" i="17"/>
  <c r="J71" i="17" s="1"/>
  <c r="I70" i="17"/>
  <c r="J70" i="17" s="1"/>
  <c r="I69" i="17"/>
  <c r="J69" i="17" s="1"/>
  <c r="I68" i="17"/>
  <c r="J68" i="17" s="1"/>
  <c r="I67" i="17"/>
  <c r="J67" i="17" s="1"/>
  <c r="I66" i="17"/>
  <c r="J66" i="17" s="1"/>
  <c r="I65" i="17"/>
  <c r="J65" i="17" s="1"/>
  <c r="I64" i="17"/>
  <c r="J64" i="17" s="1"/>
  <c r="I61" i="17"/>
  <c r="J61" i="17" s="1"/>
  <c r="I60" i="17"/>
  <c r="J60" i="17" s="1"/>
  <c r="I59" i="17"/>
  <c r="J59" i="17" s="1"/>
  <c r="I58" i="17"/>
  <c r="J58" i="17" s="1"/>
  <c r="I57" i="17"/>
  <c r="J57" i="17" s="1"/>
  <c r="I56" i="17"/>
  <c r="J56" i="17" s="1"/>
  <c r="I55" i="17"/>
  <c r="J55" i="17" s="1"/>
  <c r="I54" i="17"/>
  <c r="J54" i="17" s="1"/>
  <c r="I51" i="17"/>
  <c r="J51" i="17" s="1"/>
  <c r="I50" i="17"/>
  <c r="J50" i="17" s="1"/>
  <c r="I49" i="17"/>
  <c r="J49" i="17" s="1"/>
  <c r="I48" i="17"/>
  <c r="J48" i="17" s="1"/>
  <c r="I47" i="17"/>
  <c r="J47" i="17" s="1"/>
  <c r="I46" i="17"/>
  <c r="J46" i="17" s="1"/>
  <c r="I45" i="17"/>
  <c r="J45" i="17" s="1"/>
  <c r="I44" i="17"/>
  <c r="J44" i="17" s="1"/>
  <c r="I43" i="17"/>
  <c r="J43" i="17" s="1"/>
  <c r="I40" i="17"/>
  <c r="J40" i="17" s="1"/>
  <c r="I39" i="17"/>
  <c r="J39" i="17" s="1"/>
  <c r="F98" i="4"/>
  <c r="K14" i="5" s="1"/>
  <c r="K18" i="5" s="1"/>
  <c r="F29" i="5" s="1"/>
  <c r="I77" i="4"/>
  <c r="J77" i="4" s="1"/>
  <c r="I30" i="4"/>
  <c r="J30" i="4" s="1"/>
  <c r="O57" i="2"/>
  <c r="G26" i="7"/>
  <c r="D8" i="7" s="1"/>
  <c r="O8" i="2"/>
  <c r="O13" i="2"/>
  <c r="O14" i="2"/>
  <c r="O15" i="2"/>
  <c r="O17" i="2" s="1"/>
  <c r="O19" i="2"/>
  <c r="O20" i="2"/>
  <c r="O21" i="2"/>
  <c r="O22" i="2"/>
  <c r="O23" i="2"/>
  <c r="O24" i="2"/>
  <c r="O25" i="2"/>
  <c r="O26" i="2"/>
  <c r="O27" i="2"/>
  <c r="O31" i="2"/>
  <c r="O34" i="2"/>
  <c r="O41" i="2"/>
  <c r="O46" i="2"/>
  <c r="O48" i="2" s="1"/>
  <c r="O51" i="2"/>
  <c r="O59" i="2"/>
  <c r="C41" i="3"/>
  <c r="J41" i="3" s="1"/>
  <c r="O71" i="2"/>
  <c r="O76" i="2"/>
  <c r="O80" i="2"/>
  <c r="O83" i="2"/>
  <c r="O84" i="2"/>
  <c r="O85" i="2"/>
  <c r="O90" i="2"/>
  <c r="O97" i="2"/>
  <c r="O102" i="2"/>
  <c r="O106" i="2"/>
  <c r="O107" i="2"/>
  <c r="I39" i="4"/>
  <c r="J39" i="4" s="1"/>
  <c r="I39" i="9"/>
  <c r="J39" i="9" s="1"/>
  <c r="I39" i="13"/>
  <c r="J39" i="13" s="1"/>
  <c r="O111" i="2"/>
  <c r="O112" i="2"/>
  <c r="I40" i="4"/>
  <c r="J40" i="4" s="1"/>
  <c r="I40" i="9"/>
  <c r="J40" i="9" s="1"/>
  <c r="I40" i="13"/>
  <c r="J40" i="13" s="1"/>
  <c r="O118" i="2"/>
  <c r="O119" i="2"/>
  <c r="I43" i="4"/>
  <c r="J43" i="4" s="1"/>
  <c r="I43" i="9"/>
  <c r="I43" i="13"/>
  <c r="O123" i="2"/>
  <c r="O124" i="2"/>
  <c r="I44" i="4"/>
  <c r="J44" i="4" s="1"/>
  <c r="I44" i="9"/>
  <c r="J44" i="9" s="1"/>
  <c r="I44" i="13"/>
  <c r="J44" i="13" s="1"/>
  <c r="O128" i="2"/>
  <c r="O129" i="2"/>
  <c r="I45" i="4"/>
  <c r="J45" i="4" s="1"/>
  <c r="I45" i="9"/>
  <c r="J45" i="9" s="1"/>
  <c r="I45" i="13"/>
  <c r="J45" i="13" s="1"/>
  <c r="O133" i="2"/>
  <c r="O134" i="2"/>
  <c r="I46" i="4"/>
  <c r="J46" i="4" s="1"/>
  <c r="I46" i="9"/>
  <c r="J46" i="9" s="1"/>
  <c r="I46" i="13"/>
  <c r="J46" i="13" s="1"/>
  <c r="O138" i="2"/>
  <c r="O139" i="2"/>
  <c r="I47" i="4"/>
  <c r="J47" i="4" s="1"/>
  <c r="I47" i="9"/>
  <c r="J47" i="9" s="1"/>
  <c r="I47" i="13"/>
  <c r="J47" i="13" s="1"/>
  <c r="O143" i="2"/>
  <c r="O144" i="2"/>
  <c r="I48" i="4"/>
  <c r="J48" i="4" s="1"/>
  <c r="I48" i="9"/>
  <c r="J48" i="9" s="1"/>
  <c r="I48" i="13"/>
  <c r="J48" i="13" s="1"/>
  <c r="O148" i="2"/>
  <c r="O149" i="2"/>
  <c r="I49" i="4"/>
  <c r="J49" i="4" s="1"/>
  <c r="I49" i="9"/>
  <c r="J49" i="9" s="1"/>
  <c r="I49" i="13"/>
  <c r="J49" i="13" s="1"/>
  <c r="O153" i="2"/>
  <c r="O154" i="2"/>
  <c r="I50" i="4"/>
  <c r="J50" i="4" s="1"/>
  <c r="I50" i="9"/>
  <c r="J50" i="9" s="1"/>
  <c r="I50" i="13"/>
  <c r="J50" i="13" s="1"/>
  <c r="O158" i="2"/>
  <c r="O159" i="2"/>
  <c r="I51" i="4"/>
  <c r="I51" i="9"/>
  <c r="J51" i="9" s="1"/>
  <c r="I51" i="13"/>
  <c r="J51" i="13" s="1"/>
  <c r="O165" i="2"/>
  <c r="O166" i="2"/>
  <c r="I54" i="4"/>
  <c r="I54" i="9"/>
  <c r="J54" i="9" s="1"/>
  <c r="I54" i="13"/>
  <c r="O170" i="2"/>
  <c r="O171" i="2"/>
  <c r="I55" i="4"/>
  <c r="J55" i="4" s="1"/>
  <c r="I55" i="9"/>
  <c r="J55" i="9" s="1"/>
  <c r="I55" i="13"/>
  <c r="J55" i="13" s="1"/>
  <c r="O175" i="2"/>
  <c r="O176" i="2"/>
  <c r="I56" i="4"/>
  <c r="J56" i="4" s="1"/>
  <c r="I56" i="9"/>
  <c r="J56" i="9" s="1"/>
  <c r="I56" i="13"/>
  <c r="J56" i="13" s="1"/>
  <c r="O180" i="2"/>
  <c r="O181" i="2"/>
  <c r="I57" i="4"/>
  <c r="J57" i="4" s="1"/>
  <c r="I57" i="9"/>
  <c r="I57" i="13"/>
  <c r="J57" i="13" s="1"/>
  <c r="O185" i="2"/>
  <c r="O186" i="2"/>
  <c r="I58" i="4"/>
  <c r="J58" i="4" s="1"/>
  <c r="I58" i="9"/>
  <c r="J58" i="9" s="1"/>
  <c r="I58" i="13"/>
  <c r="J58" i="13" s="1"/>
  <c r="O190" i="2"/>
  <c r="O191" i="2"/>
  <c r="I59" i="4"/>
  <c r="J59" i="4" s="1"/>
  <c r="I59" i="9"/>
  <c r="J59" i="9" s="1"/>
  <c r="I59" i="13"/>
  <c r="J59" i="13" s="1"/>
  <c r="O195" i="2"/>
  <c r="O196" i="2"/>
  <c r="I60" i="4"/>
  <c r="J60" i="4" s="1"/>
  <c r="I60" i="9"/>
  <c r="J60" i="9" s="1"/>
  <c r="I60" i="13"/>
  <c r="J60" i="13" s="1"/>
  <c r="O200" i="2"/>
  <c r="O201" i="2"/>
  <c r="I61" i="4"/>
  <c r="J61" i="4" s="1"/>
  <c r="I61" i="9"/>
  <c r="J61" i="9" s="1"/>
  <c r="I61" i="13"/>
  <c r="J61" i="13" s="1"/>
  <c r="O207" i="2"/>
  <c r="O208" i="2"/>
  <c r="I64" i="4"/>
  <c r="J64" i="4" s="1"/>
  <c r="I64" i="9"/>
  <c r="J64" i="9" s="1"/>
  <c r="I64" i="13"/>
  <c r="O212" i="2"/>
  <c r="O213" i="2"/>
  <c r="I65" i="4"/>
  <c r="I65" i="9"/>
  <c r="I65" i="13"/>
  <c r="J65" i="13" s="1"/>
  <c r="O217" i="2"/>
  <c r="O218" i="2"/>
  <c r="I66" i="4"/>
  <c r="J66" i="4" s="1"/>
  <c r="I66" i="9"/>
  <c r="J66" i="9" s="1"/>
  <c r="I66" i="13"/>
  <c r="J66" i="13" s="1"/>
  <c r="O222" i="2"/>
  <c r="O223" i="2"/>
  <c r="I67" i="4"/>
  <c r="J67" i="4" s="1"/>
  <c r="I67" i="9"/>
  <c r="J67" i="9" s="1"/>
  <c r="I67" i="13"/>
  <c r="J67" i="13" s="1"/>
  <c r="O227" i="2"/>
  <c r="O228" i="2"/>
  <c r="I68" i="4"/>
  <c r="J68" i="4" s="1"/>
  <c r="I68" i="9"/>
  <c r="J68" i="9" s="1"/>
  <c r="I68" i="13"/>
  <c r="J68" i="13" s="1"/>
  <c r="O232" i="2"/>
  <c r="O233" i="2"/>
  <c r="I69" i="4"/>
  <c r="J69" i="4" s="1"/>
  <c r="I69" i="9"/>
  <c r="J69" i="9" s="1"/>
  <c r="I69" i="13"/>
  <c r="J69" i="13" s="1"/>
  <c r="O237" i="2"/>
  <c r="O238" i="2"/>
  <c r="I70" i="4"/>
  <c r="J70" i="4" s="1"/>
  <c r="I70" i="9"/>
  <c r="J70" i="9" s="1"/>
  <c r="I70" i="13"/>
  <c r="J70" i="13" s="1"/>
  <c r="O242" i="2"/>
  <c r="O243" i="2"/>
  <c r="I71" i="4"/>
  <c r="J71" i="4" s="1"/>
  <c r="I71" i="9"/>
  <c r="J71" i="9" s="1"/>
  <c r="I71" i="13"/>
  <c r="J71" i="13" s="1"/>
  <c r="O247" i="2"/>
  <c r="O248" i="2"/>
  <c r="I72" i="4"/>
  <c r="J72" i="4" s="1"/>
  <c r="I72" i="9"/>
  <c r="J72" i="9" s="1"/>
  <c r="I72" i="13"/>
  <c r="J72" i="13" s="1"/>
  <c r="O252" i="2"/>
  <c r="O253" i="2"/>
  <c r="I73" i="4"/>
  <c r="J73" i="4" s="1"/>
  <c r="I73" i="9"/>
  <c r="J73" i="9" s="1"/>
  <c r="I73" i="13"/>
  <c r="J73" i="13" s="1"/>
  <c r="O257" i="2"/>
  <c r="O258" i="2"/>
  <c r="I74" i="4"/>
  <c r="J74" i="4" s="1"/>
  <c r="I74" i="9"/>
  <c r="J74" i="9" s="1"/>
  <c r="I74" i="13"/>
  <c r="J74" i="13" s="1"/>
  <c r="O262" i="2"/>
  <c r="O263" i="2"/>
  <c r="I75" i="4"/>
  <c r="J75" i="4" s="1"/>
  <c r="I75" i="9"/>
  <c r="J75" i="9" s="1"/>
  <c r="I75" i="13"/>
  <c r="J75" i="13" s="1"/>
  <c r="O267" i="2"/>
  <c r="O268" i="2"/>
  <c r="I76" i="4"/>
  <c r="J76" i="4" s="1"/>
  <c r="I76" i="9"/>
  <c r="J76" i="9" s="1"/>
  <c r="I76" i="13"/>
  <c r="J76" i="13" s="1"/>
  <c r="O272" i="2"/>
  <c r="O273" i="2"/>
  <c r="I77" i="9"/>
  <c r="J77" i="9" s="1"/>
  <c r="I77" i="13"/>
  <c r="J77" i="13" s="1"/>
  <c r="O63" i="2"/>
  <c r="O66" i="2"/>
  <c r="J106" i="18"/>
  <c r="I31" i="4"/>
  <c r="I15" i="17"/>
  <c r="J15" i="17" s="1"/>
  <c r="F54" i="2"/>
  <c r="I15" i="4"/>
  <c r="J15" i="4" s="1"/>
  <c r="I15" i="13"/>
  <c r="J15" i="13" s="1"/>
  <c r="I15" i="9"/>
  <c r="O33" i="2"/>
  <c r="C82" i="13"/>
  <c r="I32" i="4"/>
  <c r="J32" i="4" s="1"/>
  <c r="I24" i="17"/>
  <c r="J24" i="17" s="1"/>
  <c r="I24" i="13"/>
  <c r="I24" i="4"/>
  <c r="O40" i="2"/>
  <c r="I24" i="9"/>
  <c r="C48" i="3"/>
  <c r="I25" i="17"/>
  <c r="J25" i="17" s="1"/>
  <c r="I25" i="9"/>
  <c r="J25" i="9" s="1"/>
  <c r="I25" i="13"/>
  <c r="J25" i="13" s="1"/>
  <c r="I26" i="4"/>
  <c r="J26" i="4" s="1"/>
  <c r="I25" i="4"/>
  <c r="J25" i="4" s="1"/>
  <c r="C49" i="3"/>
  <c r="I26" i="17"/>
  <c r="J26" i="17" s="1"/>
  <c r="I26" i="13"/>
  <c r="J26" i="13" s="1"/>
  <c r="O45" i="2"/>
  <c r="I26" i="9"/>
  <c r="J26" i="9" s="1"/>
  <c r="I38" i="4"/>
  <c r="J38" i="4" s="1"/>
  <c r="I37" i="4"/>
  <c r="I29" i="17"/>
  <c r="J29" i="17" s="1"/>
  <c r="I29" i="13"/>
  <c r="D41" i="3"/>
  <c r="K41" i="3" s="1"/>
  <c r="O50" i="2"/>
  <c r="I30" i="17"/>
  <c r="J30" i="17" s="1"/>
  <c r="O58" i="2"/>
  <c r="I30" i="13"/>
  <c r="J30" i="13" s="1"/>
  <c r="I31" i="17"/>
  <c r="J31" i="17" s="1"/>
  <c r="I31" i="13"/>
  <c r="J31" i="13" s="1"/>
  <c r="O65" i="2"/>
  <c r="I31" i="9"/>
  <c r="I32" i="17"/>
  <c r="J32" i="17" s="1"/>
  <c r="O70" i="2"/>
  <c r="D17" i="3"/>
  <c r="I32" i="13"/>
  <c r="J32" i="13" s="1"/>
  <c r="I33" i="17"/>
  <c r="J33" i="17" s="1"/>
  <c r="I33" i="13"/>
  <c r="J33" i="13" s="1"/>
  <c r="D48" i="3"/>
  <c r="O75" i="2"/>
  <c r="I34" i="17"/>
  <c r="J34" i="17" s="1"/>
  <c r="O81" i="2"/>
  <c r="I34" i="13"/>
  <c r="J34" i="13" s="1"/>
  <c r="D49" i="3"/>
  <c r="I38" i="17"/>
  <c r="J38" i="17" s="1"/>
  <c r="I37" i="17"/>
  <c r="J37" i="17" s="1"/>
  <c r="I37" i="9"/>
  <c r="J37" i="9" s="1"/>
  <c r="I38" i="9"/>
  <c r="J38" i="9" s="1"/>
  <c r="O89" i="2"/>
  <c r="I38" i="13"/>
  <c r="J38" i="13" s="1"/>
  <c r="I37" i="13"/>
  <c r="O96" i="2"/>
  <c r="O101" i="2"/>
  <c r="I91" i="17"/>
  <c r="J91" i="17" s="1"/>
  <c r="I92" i="17"/>
  <c r="J92" i="17" s="1"/>
  <c r="I89" i="17"/>
  <c r="J89" i="17" s="1"/>
  <c r="I90" i="17"/>
  <c r="J90" i="17" s="1"/>
  <c r="I88" i="17"/>
  <c r="J88" i="17" s="1"/>
  <c r="I87" i="17"/>
  <c r="J87" i="17" s="1"/>
  <c r="C82" i="17"/>
  <c r="D82" i="13"/>
  <c r="D82" i="9"/>
  <c r="C83" i="9"/>
  <c r="C82" i="9"/>
  <c r="D82" i="4"/>
  <c r="I96" i="9"/>
  <c r="K96" i="9" s="1"/>
  <c r="I95" i="9"/>
  <c r="K95" i="9" s="1"/>
  <c r="I94" i="9"/>
  <c r="K94" i="9" s="1"/>
  <c r="N37" i="2" l="1"/>
  <c r="J106" i="14"/>
  <c r="E35" i="9"/>
  <c r="L12" i="14"/>
  <c r="L16" i="14" s="1"/>
  <c r="L24" i="14" s="1"/>
  <c r="D80" i="17"/>
  <c r="N115" i="2"/>
  <c r="C17" i="3"/>
  <c r="F82" i="13"/>
  <c r="L12" i="18"/>
  <c r="L16" i="18" s="1"/>
  <c r="L24" i="18" s="1"/>
  <c r="L54" i="2"/>
  <c r="I115" i="2"/>
  <c r="I93" i="4"/>
  <c r="F24" i="5"/>
  <c r="E26" i="5" s="1"/>
  <c r="L162" i="2"/>
  <c r="I204" i="2"/>
  <c r="F22" i="9"/>
  <c r="F62" i="9"/>
  <c r="F52" i="9"/>
  <c r="I105" i="5"/>
  <c r="H54" i="2"/>
  <c r="E54" i="2"/>
  <c r="F78" i="9"/>
  <c r="C80" i="9"/>
  <c r="G35" i="9" s="1"/>
  <c r="H294" i="2"/>
  <c r="E276" i="2"/>
  <c r="G294" i="2"/>
  <c r="D62" i="3" s="1"/>
  <c r="I14" i="13"/>
  <c r="J14" i="13" s="1"/>
  <c r="D14" i="3"/>
  <c r="I33" i="4"/>
  <c r="J33" i="4" s="1"/>
  <c r="C18" i="3"/>
  <c r="J64" i="13"/>
  <c r="I78" i="13"/>
  <c r="H204" i="2"/>
  <c r="J54" i="13"/>
  <c r="I62" i="13"/>
  <c r="J24" i="13"/>
  <c r="I27" i="13"/>
  <c r="J37" i="13"/>
  <c r="I41" i="13"/>
  <c r="J29" i="13"/>
  <c r="I35" i="13"/>
  <c r="J43" i="13"/>
  <c r="I52" i="13"/>
  <c r="B44" i="12"/>
  <c r="D80" i="4"/>
  <c r="E22" i="17"/>
  <c r="E27" i="17"/>
  <c r="E35" i="17"/>
  <c r="E41" i="17"/>
  <c r="N162" i="2"/>
  <c r="E115" i="2"/>
  <c r="D19" i="3"/>
  <c r="C162" i="2"/>
  <c r="L37" i="2"/>
  <c r="I37" i="2"/>
  <c r="C16" i="3"/>
  <c r="E204" i="2"/>
  <c r="E22" i="4"/>
  <c r="E27" i="4"/>
  <c r="E35" i="4"/>
  <c r="E41" i="4"/>
  <c r="E52" i="4"/>
  <c r="E62" i="4"/>
  <c r="E78" i="4"/>
  <c r="J204" i="2"/>
  <c r="I29" i="9"/>
  <c r="J29" i="9" s="1"/>
  <c r="I14" i="4"/>
  <c r="J14" i="4" s="1"/>
  <c r="K37" i="2"/>
  <c r="L93" i="2"/>
  <c r="L115" i="2"/>
  <c r="L204" i="2"/>
  <c r="L276" i="2"/>
  <c r="I93" i="2"/>
  <c r="I162" i="2"/>
  <c r="I276" i="2"/>
  <c r="F62" i="17"/>
  <c r="M37" i="2"/>
  <c r="C15" i="3"/>
  <c r="E78" i="9"/>
  <c r="F37" i="2"/>
  <c r="H37" i="2"/>
  <c r="D7" i="12"/>
  <c r="E22" i="9"/>
  <c r="E62" i="9"/>
  <c r="G162" i="2"/>
  <c r="K162" i="2"/>
  <c r="J162" i="2"/>
  <c r="N276" i="2"/>
  <c r="F276" i="2"/>
  <c r="C204" i="2"/>
  <c r="N204" i="2"/>
  <c r="F204" i="2"/>
  <c r="E162" i="2"/>
  <c r="H162" i="2"/>
  <c r="F162" i="2"/>
  <c r="F115" i="2"/>
  <c r="N93" i="2"/>
  <c r="N54" i="2"/>
  <c r="F27" i="9"/>
  <c r="F35" i="9"/>
  <c r="F41" i="9"/>
  <c r="D80" i="9"/>
  <c r="F27" i="4"/>
  <c r="F41" i="4"/>
  <c r="F62" i="4"/>
  <c r="F27" i="17"/>
  <c r="F41" i="17"/>
  <c r="M115" i="2"/>
  <c r="M204" i="2"/>
  <c r="M276" i="2"/>
  <c r="I34" i="9"/>
  <c r="J34" i="9" s="1"/>
  <c r="I33" i="9"/>
  <c r="J33" i="9" s="1"/>
  <c r="D18" i="3"/>
  <c r="H115" i="2"/>
  <c r="C54" i="2"/>
  <c r="E52" i="17"/>
  <c r="E62" i="17"/>
  <c r="E78" i="17"/>
  <c r="M54" i="2"/>
  <c r="M93" i="2"/>
  <c r="M162" i="2"/>
  <c r="F16" i="17"/>
  <c r="F16" i="4"/>
  <c r="F16" i="9"/>
  <c r="C35" i="19"/>
  <c r="D48" i="18"/>
  <c r="J93" i="2"/>
  <c r="E15" i="3"/>
  <c r="J54" i="2"/>
  <c r="E16" i="17"/>
  <c r="F22" i="17"/>
  <c r="F35" i="17"/>
  <c r="F52" i="17"/>
  <c r="F78" i="17"/>
  <c r="C80" i="17"/>
  <c r="E16" i="4"/>
  <c r="F22" i="4"/>
  <c r="F35" i="4"/>
  <c r="F52" i="4"/>
  <c r="F78" i="4"/>
  <c r="C80" i="4"/>
  <c r="K13" i="10"/>
  <c r="I100" i="10" s="1"/>
  <c r="E18" i="3"/>
  <c r="E16" i="3"/>
  <c r="D16" i="3"/>
  <c r="J115" i="2"/>
  <c r="D15" i="3"/>
  <c r="H93" i="2"/>
  <c r="I32" i="9"/>
  <c r="J32" i="9" s="1"/>
  <c r="J37" i="2"/>
  <c r="G37" i="2"/>
  <c r="D39" i="3" s="1"/>
  <c r="I109" i="5"/>
  <c r="E27" i="9"/>
  <c r="E41" i="9"/>
  <c r="G54" i="2"/>
  <c r="D40" i="3" s="1"/>
  <c r="H40" i="3" s="1"/>
  <c r="G115" i="2"/>
  <c r="D93" i="2"/>
  <c r="C50" i="3" s="1"/>
  <c r="K115" i="2"/>
  <c r="D37" i="2"/>
  <c r="C39" i="3" s="1"/>
  <c r="D54" i="2"/>
  <c r="I14" i="17"/>
  <c r="J14" i="17" s="1"/>
  <c r="D276" i="2"/>
  <c r="C54" i="3" s="1"/>
  <c r="K276" i="2"/>
  <c r="E14" i="3"/>
  <c r="E19" i="3"/>
  <c r="J104" i="14"/>
  <c r="J108" i="14"/>
  <c r="K93" i="2"/>
  <c r="I30" i="9"/>
  <c r="J30" i="9" s="1"/>
  <c r="G93" i="2"/>
  <c r="D50" i="3" s="1"/>
  <c r="K54" i="2"/>
  <c r="I34" i="4"/>
  <c r="J34" i="4" s="1"/>
  <c r="E52" i="9"/>
  <c r="D115" i="2"/>
  <c r="F82" i="17"/>
  <c r="C115" i="2"/>
  <c r="C19" i="3"/>
  <c r="C14" i="3"/>
  <c r="I107" i="5"/>
  <c r="C37" i="2"/>
  <c r="E37" i="2"/>
  <c r="D204" i="2"/>
  <c r="D162" i="2"/>
  <c r="I29" i="4"/>
  <c r="J29" i="4" s="1"/>
  <c r="G204" i="2"/>
  <c r="K204" i="2"/>
  <c r="J276" i="2"/>
  <c r="G276" i="2"/>
  <c r="D54" i="3" s="1"/>
  <c r="F93" i="2"/>
  <c r="I54" i="2"/>
  <c r="E17" i="3"/>
  <c r="E93" i="2"/>
  <c r="D294" i="2"/>
  <c r="H44" i="3"/>
  <c r="H43" i="3"/>
  <c r="F43" i="3"/>
  <c r="H45" i="3"/>
  <c r="K44" i="3"/>
  <c r="F45" i="3"/>
  <c r="F44" i="3"/>
  <c r="I40" i="1"/>
  <c r="C33" i="11"/>
  <c r="C292" i="2"/>
  <c r="C276" i="2"/>
  <c r="C35" i="15"/>
  <c r="D48" i="14"/>
  <c r="F48" i="3"/>
  <c r="J48" i="3"/>
  <c r="J31" i="4"/>
  <c r="I14" i="9"/>
  <c r="J14" i="9" s="1"/>
  <c r="K48" i="3"/>
  <c r="H48" i="3"/>
  <c r="H41" i="3"/>
  <c r="F49" i="3"/>
  <c r="J49" i="3"/>
  <c r="C93" i="2"/>
  <c r="H276" i="2"/>
  <c r="G24" i="1"/>
  <c r="AB20" i="1"/>
  <c r="E20" i="1" s="1"/>
  <c r="I41" i="17"/>
  <c r="J41" i="17" s="1"/>
  <c r="K49" i="3"/>
  <c r="H49" i="3"/>
  <c r="I35" i="17"/>
  <c r="J35" i="17" s="1"/>
  <c r="J24" i="9"/>
  <c r="I27" i="9"/>
  <c r="J27" i="9" s="1"/>
  <c r="J65" i="4"/>
  <c r="I78" i="4"/>
  <c r="J78" i="4" s="1"/>
  <c r="J54" i="4"/>
  <c r="I62" i="4"/>
  <c r="J62" i="4" s="1"/>
  <c r="J43" i="9"/>
  <c r="I52" i="9"/>
  <c r="J52" i="9" s="1"/>
  <c r="F41" i="3"/>
  <c r="J31" i="9"/>
  <c r="H46" i="3"/>
  <c r="I41" i="4"/>
  <c r="J41" i="4" s="1"/>
  <c r="J37" i="4"/>
  <c r="J24" i="4"/>
  <c r="I27" i="4"/>
  <c r="J27" i="4" s="1"/>
  <c r="I27" i="17"/>
  <c r="J27" i="17" s="1"/>
  <c r="J15" i="9"/>
  <c r="J65" i="9"/>
  <c r="I78" i="9"/>
  <c r="J78" i="9" s="1"/>
  <c r="J57" i="9"/>
  <c r="I62" i="9"/>
  <c r="J62" i="9" s="1"/>
  <c r="J51" i="4"/>
  <c r="I52" i="4"/>
  <c r="J52" i="4" s="1"/>
  <c r="F46" i="3"/>
  <c r="I52" i="17"/>
  <c r="J52" i="17" s="1"/>
  <c r="I62" i="17"/>
  <c r="J62" i="17" s="1"/>
  <c r="I78" i="17"/>
  <c r="J78" i="17" s="1"/>
  <c r="I41" i="9"/>
  <c r="J41" i="9" s="1"/>
  <c r="O54" i="2" l="1"/>
  <c r="O115" i="2"/>
  <c r="O276" i="2"/>
  <c r="O204" i="2"/>
  <c r="O162" i="2"/>
  <c r="O37" i="2"/>
  <c r="D41" i="14"/>
  <c r="I21" i="14"/>
  <c r="J110" i="14" s="1"/>
  <c r="L31" i="14"/>
  <c r="I28" i="14"/>
  <c r="I28" i="18"/>
  <c r="D41" i="18"/>
  <c r="L31" i="18"/>
  <c r="I21" i="18"/>
  <c r="J103" i="18" s="1"/>
  <c r="J108" i="18"/>
  <c r="E21" i="3"/>
  <c r="G41" i="9"/>
  <c r="J104" i="18"/>
  <c r="G52" i="9"/>
  <c r="K17" i="10"/>
  <c r="I99" i="9" s="1"/>
  <c r="K99" i="9" s="1"/>
  <c r="I96" i="10"/>
  <c r="H39" i="3"/>
  <c r="F50" i="3"/>
  <c r="F39" i="3"/>
  <c r="D302" i="2"/>
  <c r="D303" i="2" s="1"/>
  <c r="G22" i="9"/>
  <c r="F80" i="9"/>
  <c r="G27" i="9"/>
  <c r="G80" i="9"/>
  <c r="G16" i="9"/>
  <c r="E80" i="9"/>
  <c r="G62" i="9"/>
  <c r="G78" i="9"/>
  <c r="N278" i="2"/>
  <c r="I16" i="13"/>
  <c r="J16" i="13" s="1"/>
  <c r="O93" i="2"/>
  <c r="D12" i="3"/>
  <c r="E13" i="3"/>
  <c r="I16" i="4"/>
  <c r="J16" i="4" s="1"/>
  <c r="E12" i="3"/>
  <c r="J35" i="13"/>
  <c r="J62" i="13"/>
  <c r="J52" i="13"/>
  <c r="J41" i="13"/>
  <c r="J27" i="13"/>
  <c r="J78" i="13"/>
  <c r="C24" i="3"/>
  <c r="H50" i="3"/>
  <c r="H54" i="3"/>
  <c r="F54" i="3"/>
  <c r="D20" i="3"/>
  <c r="H278" i="2"/>
  <c r="H296" i="2" s="1"/>
  <c r="E24" i="3"/>
  <c r="I35" i="4"/>
  <c r="J35" i="4" s="1"/>
  <c r="I278" i="2"/>
  <c r="D278" i="2"/>
  <c r="C59" i="3" s="1"/>
  <c r="L278" i="2"/>
  <c r="D24" i="3"/>
  <c r="F278" i="2"/>
  <c r="I35" i="9"/>
  <c r="J35" i="9" s="1"/>
  <c r="J278" i="2"/>
  <c r="D13" i="3"/>
  <c r="K40" i="3"/>
  <c r="G278" i="2"/>
  <c r="D59" i="3" s="1"/>
  <c r="I16" i="17"/>
  <c r="J16" i="17" s="1"/>
  <c r="I16" i="9"/>
  <c r="J16" i="9" s="1"/>
  <c r="D52" i="3"/>
  <c r="D22" i="3"/>
  <c r="M278" i="2"/>
  <c r="C12" i="3"/>
  <c r="E278" i="2"/>
  <c r="F80" i="17"/>
  <c r="G80" i="17"/>
  <c r="G62" i="17"/>
  <c r="G41" i="17"/>
  <c r="G27" i="17"/>
  <c r="G16" i="17"/>
  <c r="G78" i="17"/>
  <c r="G35" i="17"/>
  <c r="E80" i="17"/>
  <c r="G52" i="17"/>
  <c r="G22" i="17"/>
  <c r="F80" i="4"/>
  <c r="G80" i="4"/>
  <c r="G62" i="4"/>
  <c r="G41" i="4"/>
  <c r="G27" i="4"/>
  <c r="G16" i="4"/>
  <c r="G78" i="4"/>
  <c r="G35" i="4"/>
  <c r="E80" i="4"/>
  <c r="G52" i="4"/>
  <c r="G22" i="4"/>
  <c r="D21" i="3"/>
  <c r="D51" i="3"/>
  <c r="E23" i="3"/>
  <c r="C13" i="3"/>
  <c r="C40" i="3"/>
  <c r="D53" i="3"/>
  <c r="D23" i="3"/>
  <c r="C52" i="3"/>
  <c r="C22" i="3"/>
  <c r="E22" i="3"/>
  <c r="C53" i="3"/>
  <c r="C23" i="3"/>
  <c r="C51" i="3"/>
  <c r="C21" i="3"/>
  <c r="K278" i="2"/>
  <c r="E20" i="3"/>
  <c r="C20" i="3"/>
  <c r="C278" i="2"/>
  <c r="C294" i="2"/>
  <c r="G295" i="2" s="1"/>
  <c r="C62" i="3"/>
  <c r="F62" i="3" s="1"/>
  <c r="D63" i="3" s="1"/>
  <c r="F99" i="4"/>
  <c r="F100" i="4" s="1"/>
  <c r="G101" i="9"/>
  <c r="G102" i="9" s="1"/>
  <c r="J103" i="14" l="1"/>
  <c r="J105" i="14" s="1"/>
  <c r="J107" i="14" s="1"/>
  <c r="J109" i="14" s="1"/>
  <c r="J111" i="14" s="1"/>
  <c r="I29" i="14" s="1"/>
  <c r="L30" i="14" s="1"/>
  <c r="F97" i="13" s="1"/>
  <c r="H97" i="13" s="1"/>
  <c r="E279" i="2"/>
  <c r="F279" i="2"/>
  <c r="G279" i="2"/>
  <c r="I279" i="2"/>
  <c r="K279" i="2"/>
  <c r="L279" i="2"/>
  <c r="M279" i="2"/>
  <c r="N279" i="2"/>
  <c r="D279" i="2"/>
  <c r="H279" i="2"/>
  <c r="J279" i="2"/>
  <c r="J110" i="18"/>
  <c r="F23" i="10"/>
  <c r="E25" i="10" s="1"/>
  <c r="I102" i="10" s="1"/>
  <c r="J105" i="18"/>
  <c r="J107" i="18" s="1"/>
  <c r="J109" i="18" s="1"/>
  <c r="I98" i="9"/>
  <c r="K98" i="9" s="1"/>
  <c r="I80" i="13"/>
  <c r="K16" i="13" s="1"/>
  <c r="I80" i="17"/>
  <c r="K27" i="17" s="1"/>
  <c r="F59" i="3"/>
  <c r="C60" i="3" s="1"/>
  <c r="D55" i="3"/>
  <c r="D296" i="2"/>
  <c r="C55" i="3"/>
  <c r="D25" i="3"/>
  <c r="F103" i="4"/>
  <c r="F104" i="4" s="1"/>
  <c r="O278" i="2"/>
  <c r="H52" i="3"/>
  <c r="K52" i="3"/>
  <c r="C25" i="3"/>
  <c r="F40" i="3"/>
  <c r="K51" i="3"/>
  <c r="H51" i="3"/>
  <c r="F51" i="3"/>
  <c r="J51" i="3"/>
  <c r="F53" i="3"/>
  <c r="F52" i="3"/>
  <c r="J52" i="3"/>
  <c r="K53" i="3"/>
  <c r="H53" i="3"/>
  <c r="H295" i="2"/>
  <c r="D295" i="2"/>
  <c r="C63" i="3"/>
  <c r="F63" i="3" s="1"/>
  <c r="E25" i="3"/>
  <c r="D304" i="2"/>
  <c r="I21" i="4"/>
  <c r="J21" i="4" s="1"/>
  <c r="I20" i="4"/>
  <c r="J20" i="4" s="1"/>
  <c r="I19" i="4"/>
  <c r="J19" i="4" s="1"/>
  <c r="I18" i="4"/>
  <c r="C279" i="2" l="1"/>
  <c r="J111" i="18"/>
  <c r="I29" i="18" s="1"/>
  <c r="L30" i="18" s="1"/>
  <c r="I94" i="17" s="1"/>
  <c r="J94" i="17" s="1"/>
  <c r="I95" i="10"/>
  <c r="I97" i="10" s="1"/>
  <c r="I99" i="10" s="1"/>
  <c r="I101" i="10" s="1"/>
  <c r="I103" i="10" s="1"/>
  <c r="E26" i="10" s="1"/>
  <c r="F27" i="10" s="1"/>
  <c r="I97" i="9" s="1"/>
  <c r="K97" i="9" s="1"/>
  <c r="K41" i="13"/>
  <c r="K27" i="13"/>
  <c r="K80" i="13"/>
  <c r="K62" i="13"/>
  <c r="K22" i="13"/>
  <c r="K52" i="13"/>
  <c r="K78" i="13"/>
  <c r="J80" i="13"/>
  <c r="K35" i="13"/>
  <c r="F55" i="3"/>
  <c r="J80" i="17"/>
  <c r="D60" i="3"/>
  <c r="F60" i="3" s="1"/>
  <c r="H55" i="3"/>
  <c r="G105" i="9"/>
  <c r="G106" i="9" s="1"/>
  <c r="G296" i="2"/>
  <c r="K62" i="17"/>
  <c r="K16" i="17"/>
  <c r="L7" i="18"/>
  <c r="K22" i="17"/>
  <c r="I22" i="14"/>
  <c r="L23" i="14" s="1"/>
  <c r="F96" i="13" s="1"/>
  <c r="H96" i="13" s="1"/>
  <c r="H101" i="13" s="1"/>
  <c r="K41" i="17"/>
  <c r="K80" i="17"/>
  <c r="K78" i="17"/>
  <c r="K52" i="17"/>
  <c r="K35" i="17"/>
  <c r="L7" i="14"/>
  <c r="F28" i="10"/>
  <c r="I93" i="9" s="1"/>
  <c r="I19" i="9"/>
  <c r="J19" i="9" s="1"/>
  <c r="I20" i="9"/>
  <c r="J20" i="9" s="1"/>
  <c r="I18" i="9"/>
  <c r="I21" i="9"/>
  <c r="J21" i="9" s="1"/>
  <c r="J18" i="4"/>
  <c r="I22" i="4"/>
  <c r="I22" i="18" l="1"/>
  <c r="L23" i="18" s="1"/>
  <c r="I93" i="17" s="1"/>
  <c r="J93" i="17" s="1"/>
  <c r="J98" i="17" s="1"/>
  <c r="I22" i="9"/>
  <c r="D56" i="3" s="1"/>
  <c r="J18" i="9"/>
  <c r="K93" i="9"/>
  <c r="K100" i="9" s="1"/>
  <c r="D67" i="3"/>
  <c r="C56" i="3"/>
  <c r="J22" i="4"/>
  <c r="I80" i="4"/>
  <c r="J22" i="9" l="1"/>
  <c r="I80" i="9"/>
  <c r="K27" i="9" s="1"/>
  <c r="K62" i="4"/>
  <c r="K52" i="4"/>
  <c r="K41" i="4"/>
  <c r="K16" i="4"/>
  <c r="K80" i="4"/>
  <c r="K78" i="4"/>
  <c r="K27" i="4"/>
  <c r="K8" i="5"/>
  <c r="J80" i="4"/>
  <c r="K22" i="4"/>
  <c r="K35" i="4"/>
  <c r="C57" i="3"/>
  <c r="K80" i="9" l="1"/>
  <c r="K52" i="9"/>
  <c r="D57" i="3"/>
  <c r="D65" i="3" s="1"/>
  <c r="K54" i="3" s="1"/>
  <c r="K78" i="9"/>
  <c r="K7" i="10"/>
  <c r="K22" i="9"/>
  <c r="K41" i="9"/>
  <c r="K16" i="9"/>
  <c r="J80" i="9"/>
  <c r="K62" i="9"/>
  <c r="K35" i="9"/>
  <c r="C65" i="3"/>
  <c r="J40" i="3" s="1"/>
  <c r="I94" i="4"/>
  <c r="J94" i="4" s="1"/>
  <c r="J93" i="4"/>
  <c r="I92" i="4"/>
  <c r="J92" i="4" s="1"/>
  <c r="H29" i="5"/>
  <c r="J53" i="3" l="1"/>
  <c r="K56" i="3"/>
  <c r="H33" i="5"/>
  <c r="I97" i="4" s="1"/>
  <c r="J97" i="4" s="1"/>
  <c r="H35" i="5"/>
  <c r="I90" i="4" s="1"/>
  <c r="J90" i="4" s="1"/>
  <c r="J56" i="3"/>
  <c r="J39" i="3"/>
  <c r="J50" i="3"/>
  <c r="K50" i="3"/>
  <c r="J54" i="3"/>
  <c r="J55" i="3"/>
  <c r="K55" i="3"/>
  <c r="K39" i="3"/>
  <c r="I104" i="5"/>
  <c r="I106" i="5" s="1"/>
  <c r="I108" i="5" s="1"/>
  <c r="I110" i="5" s="1"/>
  <c r="I111" i="5"/>
  <c r="K57" i="3" l="1"/>
  <c r="J57" i="3"/>
  <c r="L41" i="3"/>
  <c r="I112" i="5"/>
  <c r="E27" i="5" s="1"/>
  <c r="F28" i="5" s="1"/>
  <c r="I95" i="4" l="1"/>
  <c r="J95" i="4" s="1"/>
  <c r="F33" i="5" l="1"/>
  <c r="I96" i="4" s="1"/>
  <c r="J96" i="4" s="1"/>
  <c r="F35" i="5"/>
  <c r="I89" i="4" s="1"/>
  <c r="J89" i="4" s="1"/>
  <c r="I88" i="4"/>
  <c r="J88" i="4" l="1"/>
  <c r="J98" i="4" s="1"/>
  <c r="C6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Stoglin,Marx (HHSC)</author>
  </authors>
  <commentList>
    <comment ref="P9" authorId="0" shapeId="0" xr:uid="{AE0C3ACE-73E7-4C72-ADF4-F5275A57274F}">
      <text>
        <r>
          <rPr>
            <b/>
            <sz val="9"/>
            <color indexed="81"/>
            <rFont val="Tahoma"/>
            <charset val="1"/>
          </rPr>
          <t>Stoglin,Marx (HHSC):</t>
        </r>
        <r>
          <rPr>
            <sz val="9"/>
            <color indexed="81"/>
            <rFont val="Tahoma"/>
            <charset val="1"/>
          </rPr>
          <t xml:space="preserve">
Check Inflation factor</t>
        </r>
      </text>
    </comment>
  </commentList>
</comments>
</file>

<file path=xl/sharedStrings.xml><?xml version="1.0" encoding="utf-8"?>
<sst xmlns="http://schemas.openxmlformats.org/spreadsheetml/2006/main" count="1299" uniqueCount="469">
  <si>
    <t>1.</t>
  </si>
  <si>
    <t>Total</t>
  </si>
  <si>
    <t>2.</t>
  </si>
  <si>
    <t>3.</t>
  </si>
  <si>
    <t>Interest</t>
  </si>
  <si>
    <t xml:space="preserve"> </t>
  </si>
  <si>
    <t>Rent</t>
  </si>
  <si>
    <t>Utilities</t>
  </si>
  <si>
    <t>Security</t>
  </si>
  <si>
    <t>Janitorial</t>
  </si>
  <si>
    <t>Printing</t>
  </si>
  <si>
    <t>Copying</t>
  </si>
  <si>
    <t>Office Supplies</t>
  </si>
  <si>
    <t>Postage</t>
  </si>
  <si>
    <t>Telecommunications</t>
  </si>
  <si>
    <t>Liability Insurance</t>
  </si>
  <si>
    <t>Legal Fees</t>
  </si>
  <si>
    <t>Audit</t>
  </si>
  <si>
    <t>Advertising</t>
  </si>
  <si>
    <t>Contractual Agreements</t>
  </si>
  <si>
    <t>Raw Food</t>
  </si>
  <si>
    <t>Freight</t>
  </si>
  <si>
    <t>Delivery</t>
  </si>
  <si>
    <t>Gas &amp; Oil</t>
  </si>
  <si>
    <t>Accounting Fees</t>
  </si>
  <si>
    <t>Consulting Fees</t>
  </si>
  <si>
    <t xml:space="preserve">Provider Name: </t>
  </si>
  <si>
    <t>Mileage Reimbursement</t>
  </si>
  <si>
    <t>Total of all Cost Areas</t>
  </si>
  <si>
    <t>Tags &amp; Licenses</t>
  </si>
  <si>
    <t>Title XX</t>
  </si>
  <si>
    <t>Reimbursement Calculation</t>
  </si>
  <si>
    <t>N/A</t>
  </si>
  <si>
    <t>Legal Name of Contracted Provider</t>
  </si>
  <si>
    <t>Printed/Typed Name of Signer</t>
  </si>
  <si>
    <t>Signature</t>
  </si>
  <si>
    <t>Date</t>
  </si>
  <si>
    <t>Name of Area Agency on Aging</t>
  </si>
  <si>
    <t>Program Income</t>
  </si>
  <si>
    <t>Mortgage Interest</t>
  </si>
  <si>
    <t>IN-KIND MATCH CERTIFICATION</t>
  </si>
  <si>
    <t xml:space="preserve">Provider: </t>
  </si>
  <si>
    <t>In-kind Contribution(s):</t>
  </si>
  <si>
    <t>ITEM</t>
  </si>
  <si>
    <t>DATE OF RECEIPT</t>
  </si>
  <si>
    <t>TOTAL</t>
  </si>
  <si>
    <t>Note:</t>
  </si>
  <si>
    <r>
      <t xml:space="preserve">All contributions must meet the requirements of IRS Publication 561  
</t>
    </r>
    <r>
      <rPr>
        <u/>
        <sz val="11"/>
        <color indexed="12"/>
        <rFont val="Times New Roman"/>
        <family val="1"/>
      </rPr>
      <t>http://www.irs.gov/pub/irs-pdf/p561.pdf</t>
    </r>
  </si>
  <si>
    <t>Examples of Documentation Include:</t>
  </si>
  <si>
    <t>Rent:</t>
  </si>
  <si>
    <t>Letter of Agreement with Owner</t>
  </si>
  <si>
    <t>Labor:</t>
  </si>
  <si>
    <t>Minimum wage</t>
  </si>
  <si>
    <t>were not in-kind then you cannot count it.</t>
  </si>
  <si>
    <t xml:space="preserve">Utilities: </t>
  </si>
  <si>
    <t>Copy of Bill</t>
  </si>
  <si>
    <t>Agreement of Amount Paid if Partial</t>
  </si>
  <si>
    <r>
      <t xml:space="preserve">        </t>
    </r>
    <r>
      <rPr>
        <b/>
        <sz val="11"/>
        <rFont val="Times New Roman"/>
        <family val="1"/>
      </rPr>
      <t>Name of Contracted Provider</t>
    </r>
  </si>
  <si>
    <t>Calculation of In-Kind Value</t>
  </si>
  <si>
    <t>1. Required Match Rate</t>
  </si>
  <si>
    <t>3. Required Match Rate (1) Multiplied by the anticipated number of TDoA units (2)</t>
  </si>
  <si>
    <t>4. Total Valuation from the In-Kind Certification</t>
  </si>
  <si>
    <t>5. Balance of Required Match (3-4)</t>
  </si>
  <si>
    <t>8. Required Match Rate</t>
  </si>
  <si>
    <t>7. Balance of Required Match (5) Divided by TDoA units (6)</t>
  </si>
  <si>
    <t>9. Reduced Required Match If (8) is equal to or less than 0 this will equal (8) or else (8-7)</t>
  </si>
  <si>
    <t>Funding Source</t>
  </si>
  <si>
    <t>Local Funds - Required Match</t>
  </si>
  <si>
    <t>Revenue</t>
  </si>
  <si>
    <t>Calculated Rate</t>
  </si>
  <si>
    <t>Proposed Meals</t>
  </si>
  <si>
    <t>Proposed Meals * Calculated Units</t>
  </si>
  <si>
    <t>NA</t>
  </si>
  <si>
    <t>2. TDoA units + DHS units</t>
  </si>
  <si>
    <t>BUDGET WORKSHEET CALCULATION OF THE PER MEAL UNIT RATE</t>
  </si>
  <si>
    <t>VALUE</t>
  </si>
  <si>
    <t>Adequate Valuation of Property on a Current Basis (this should be reviewed at least every two years and if senior center, based on property value and center participation)</t>
  </si>
  <si>
    <t xml:space="preserve">All in-kind labor must be required for the service to be provided.  If you would not hire someone to perform the labor if it </t>
  </si>
  <si>
    <t>6. TDoA units + DHS units</t>
  </si>
  <si>
    <t>BUDGET WORKSHEET CERTIFICATION</t>
  </si>
  <si>
    <t xml:space="preserve">        AS SIGNER OF THIS BUDGET WORKSHEET, I HEREBY CERTIFY THAT:</t>
  </si>
  <si>
    <t>·</t>
  </si>
  <si>
    <t>I have read the note below and the instructions applicable to this budget worksheet.</t>
  </si>
  <si>
    <t>I have reviewed this budget worksheet after its preparation.</t>
  </si>
  <si>
    <t>To the best of my knowledge and belief, this budget worksheet is true, correct and</t>
  </si>
  <si>
    <t>complete, and was prepared in accordance with the instructions applicable to this</t>
  </si>
  <si>
    <t>budget worksheet.</t>
  </si>
  <si>
    <t>This budget worksheet was prepared from the books and records of the contracted</t>
  </si>
  <si>
    <t>provider.</t>
  </si>
  <si>
    <t xml:space="preserve">    Note: </t>
  </si>
  <si>
    <t>The person legally responsible for the conduct of the contracted provider must</t>
  </si>
  <si>
    <t>sign this Budget Worksheet Certification.  If a sole proprietor, the owner</t>
  </si>
  <si>
    <t xml:space="preserve">must sign the Budget Worksheet Certification.  If a partnership, a partner must </t>
  </si>
  <si>
    <t xml:space="preserve">sign the Budget Worksheet Certification.  If a corporation, the person authorized by the </t>
  </si>
  <si>
    <t xml:space="preserve">Board of Directors Resolution must sign the Budget Worksheet Certification.  </t>
  </si>
  <si>
    <t xml:space="preserve">Misrepresentation of information contained in the budget worksheet may result in </t>
  </si>
  <si>
    <t xml:space="preserve">adverse action, up to and including contract termination.  Furthermore, falsification of </t>
  </si>
  <si>
    <t>information in the budget worksheet may result in a referral for prosecution.</t>
  </si>
  <si>
    <t>Name of Contracted Provider</t>
  </si>
  <si>
    <t>Signer Authority:</t>
  </si>
  <si>
    <t>Sole Proprietor</t>
  </si>
  <si>
    <t>Association Officer</t>
  </si>
  <si>
    <t xml:space="preserve">    (check one)</t>
  </si>
  <si>
    <t>Partner</t>
  </si>
  <si>
    <t>Board Member</t>
  </si>
  <si>
    <t>Corporate Officer</t>
  </si>
  <si>
    <t xml:space="preserve">Governmental Official           </t>
  </si>
  <si>
    <t>Other Funds - Non-Eligible Meals</t>
  </si>
  <si>
    <t>Other Misc. (Explain)</t>
  </si>
  <si>
    <t>Other Fees (Explain)</t>
  </si>
  <si>
    <t xml:space="preserve">1.  Total Budgeted Expenses for Contract Year </t>
  </si>
  <si>
    <t>4.  Projected NSIP per Meal Value</t>
  </si>
  <si>
    <t>5.  Rate Less NSIP per Meal Value</t>
  </si>
  <si>
    <t>6.  Mandatory Local Match of 10%</t>
  </si>
  <si>
    <t xml:space="preserve">  **  If Applicable, Match Reduction 
       From the In-kind Match 
       Certification form</t>
  </si>
  <si>
    <t>7.  Proposed Meal Rate (Line 3 minus Line 6)</t>
  </si>
  <si>
    <t xml:space="preserve">**  If any portion of the required match is in-kind, you must complete an In-Kind Match Certification form. </t>
  </si>
  <si>
    <t>Calculated Cost per Unit</t>
  </si>
  <si>
    <t>I acknowledge that all books and records related to this rate setting process are</t>
  </si>
  <si>
    <t xml:space="preserve">subject to audit in accordance with contract requirements and all applicable federal </t>
  </si>
  <si>
    <t>and state laws.</t>
  </si>
  <si>
    <t>Home Delivered Meal Program</t>
  </si>
  <si>
    <t>Congregate Meal Program</t>
  </si>
  <si>
    <t>Salaries (Identified by Job Title)</t>
  </si>
  <si>
    <t>Contract staff (Identify by Position)</t>
  </si>
  <si>
    <t>Conference (list Conference &amp; Attendees)</t>
  </si>
  <si>
    <t>Dues (list Organization Name)</t>
  </si>
  <si>
    <t>Materials (list Items)</t>
  </si>
  <si>
    <t>Storage Cost (Food or Supply)</t>
  </si>
  <si>
    <t>Consumables (identify by type)</t>
  </si>
  <si>
    <t>Paper/plastic goods (napkins, plates, utensils, etc)</t>
  </si>
  <si>
    <t>Pots/Pans/Cooking Utensils</t>
  </si>
  <si>
    <t>Non-Capital Equipment (less that $5,000 per item)</t>
  </si>
  <si>
    <t>Depreciation (identify item, year purchased, cost)</t>
  </si>
  <si>
    <t>Interest (Identify Item, year purchased, cost)</t>
  </si>
  <si>
    <t>Leasing (identify Item, year leased)</t>
  </si>
  <si>
    <t xml:space="preserve">Cost Area </t>
  </si>
  <si>
    <t>Insurance (identify type of insurance)</t>
  </si>
  <si>
    <t>Repair (Identify all items over $100.)</t>
  </si>
  <si>
    <t>Maintenance (Identify Item, year purchased, cost)</t>
  </si>
  <si>
    <t>Total Salaries</t>
  </si>
  <si>
    <t>Payroll Taxes &amp; Benefits (Employer Paid)</t>
  </si>
  <si>
    <t>Federal Insurance compensation Act (FICA)</t>
  </si>
  <si>
    <t>Texas Unemployment Compensation Act (TUCA)</t>
  </si>
  <si>
    <t>Federal Unemployment  Tax Act (FUTA)</t>
  </si>
  <si>
    <t>Workers Compensation</t>
  </si>
  <si>
    <t>Health Insurance</t>
  </si>
  <si>
    <t>Retirement</t>
  </si>
  <si>
    <t>Total Payroll Taxes &amp; Benefits (Employer Paid)</t>
  </si>
  <si>
    <t>Total Contract staff</t>
  </si>
  <si>
    <t xml:space="preserve">Total Personnel </t>
  </si>
  <si>
    <t>Total Dues</t>
  </si>
  <si>
    <t>Total Materials</t>
  </si>
  <si>
    <t>Total Professional Development</t>
  </si>
  <si>
    <t>Other (Identify Individually all items over $100.)</t>
  </si>
  <si>
    <t>Balance not budgeted</t>
  </si>
  <si>
    <t>Total Meals/Food</t>
  </si>
  <si>
    <t>Total Consumables</t>
  </si>
  <si>
    <t>Total Other</t>
  </si>
  <si>
    <t>Total Depreciation</t>
  </si>
  <si>
    <t>Total Interest</t>
  </si>
  <si>
    <t>Total Leasing</t>
  </si>
  <si>
    <t>Total Maintenance</t>
  </si>
  <si>
    <t>Total Equipment</t>
  </si>
  <si>
    <t>Total Insurance</t>
  </si>
  <si>
    <t>Total Repair</t>
  </si>
  <si>
    <t>Total Taxes</t>
  </si>
  <si>
    <t>Taxes (Identify Type of Tax)</t>
  </si>
  <si>
    <t>Total Occupancy/Building</t>
  </si>
  <si>
    <t>Total Agency Budget</t>
  </si>
  <si>
    <t>Total Tags &amp; Licenses</t>
  </si>
  <si>
    <t>Total Transportation/Travel</t>
  </si>
  <si>
    <t>Total Administrative &amp; General</t>
  </si>
  <si>
    <t>Total Raw Food</t>
  </si>
  <si>
    <t>Total Freight</t>
  </si>
  <si>
    <t>Total Storage Cost</t>
  </si>
  <si>
    <t>Total Rent</t>
  </si>
  <si>
    <t>Total Utilities</t>
  </si>
  <si>
    <t>Total Security</t>
  </si>
  <si>
    <t>Total Mileage Reimbursement</t>
  </si>
  <si>
    <t>Total Delivery</t>
  </si>
  <si>
    <t>Total Gas &amp; Oil</t>
  </si>
  <si>
    <t>Total Advertising</t>
  </si>
  <si>
    <t>Total Printing</t>
  </si>
  <si>
    <t>Total Copying</t>
  </si>
  <si>
    <t>Total Office supplies</t>
  </si>
  <si>
    <t>Total Contractual Agreements</t>
  </si>
  <si>
    <t>Total Postage</t>
  </si>
  <si>
    <t>Total Telecommunication</t>
  </si>
  <si>
    <t>Total Liability Insurance</t>
  </si>
  <si>
    <t>Total Legal Fees</t>
  </si>
  <si>
    <t>Total Accounting Fees</t>
  </si>
  <si>
    <t>Total Consulting Fees</t>
  </si>
  <si>
    <t>Total Other Fees</t>
  </si>
  <si>
    <t>Total Audit</t>
  </si>
  <si>
    <t>Total other Misc.</t>
  </si>
  <si>
    <t>Provider Total Budget by Service</t>
  </si>
  <si>
    <t>Home Delivered Meal Budget Worksheet</t>
  </si>
  <si>
    <t>Participant Assessment</t>
  </si>
  <si>
    <t>Total Budgeted Meals</t>
  </si>
  <si>
    <t>% of Total Meals</t>
  </si>
  <si>
    <t>Provider Total Budgeted Home Delivered Meals</t>
  </si>
  <si>
    <t>Total Meals by Funding Source</t>
  </si>
  <si>
    <t>Cost Area</t>
  </si>
  <si>
    <t>Salaries, PR Taxes &amp; Benefits</t>
  </si>
  <si>
    <t>Contract staff, Compensation</t>
  </si>
  <si>
    <t>Conference</t>
  </si>
  <si>
    <t>Dues</t>
  </si>
  <si>
    <t>Materials</t>
  </si>
  <si>
    <t>Depreciation</t>
  </si>
  <si>
    <t>Leasing</t>
  </si>
  <si>
    <t>Maintenance</t>
  </si>
  <si>
    <t>Insurance</t>
  </si>
  <si>
    <t>Repair</t>
  </si>
  <si>
    <t>Taxes</t>
  </si>
  <si>
    <t>Storage</t>
  </si>
  <si>
    <t>Consumables</t>
  </si>
  <si>
    <t>Repairs</t>
  </si>
  <si>
    <t>Depreciation/Lease</t>
  </si>
  <si>
    <t>Other</t>
  </si>
  <si>
    <t xml:space="preserve">Total Number of Meals </t>
  </si>
  <si>
    <t>Whole Cost per Meal</t>
  </si>
  <si>
    <t>If applicable replace with title of other agency program</t>
  </si>
  <si>
    <t>Nutrition Education - AAA Clients</t>
  </si>
  <si>
    <t>Estimated Number of Nutrition Education Units AAA Clients</t>
  </si>
  <si>
    <t>Nutrition Education Budget - AAA Clients</t>
  </si>
  <si>
    <t>Total Conferences</t>
  </si>
  <si>
    <t>Total Mortgage Interest</t>
  </si>
  <si>
    <t>Depreciation/Lease (identify item, year purchased, cost)</t>
  </si>
  <si>
    <t>Repairs (Identify Item &amp; year purchased)</t>
  </si>
  <si>
    <t>Personnel</t>
  </si>
  <si>
    <t>Professional Development</t>
  </si>
  <si>
    <t>Meals/Food</t>
  </si>
  <si>
    <t>Equipment</t>
  </si>
  <si>
    <t>Occupancy/Building</t>
  </si>
  <si>
    <t>Transportation/Travel</t>
  </si>
  <si>
    <t>Administrative &amp; General</t>
  </si>
  <si>
    <t>Nutrition Education</t>
  </si>
  <si>
    <t>Approved Meal Rate (Title III &amp; Title XX)</t>
  </si>
  <si>
    <t>Approved Meal Rate (Title XIX)</t>
  </si>
  <si>
    <t xml:space="preserve">By signing below, the provider acknowledges that all related records are subject to audit in accordance with contract </t>
  </si>
  <si>
    <t>requirements and all applicable federal and state laws.</t>
  </si>
  <si>
    <t>Hot Prepared Meals Purchased from a Supplier or Central Kitchen</t>
  </si>
  <si>
    <t>Purchased Meals</t>
  </si>
  <si>
    <t>Total Purchased Meals</t>
  </si>
  <si>
    <t>Total Other Meal/Food</t>
  </si>
  <si>
    <t>Home Delivered Meals</t>
  </si>
  <si>
    <t>Congregate Meals</t>
  </si>
  <si>
    <t>Percentage of the Total Cost Area Budgeted to:</t>
  </si>
  <si>
    <t>Agency Budget not Applicable to Programs</t>
  </si>
  <si>
    <t xml:space="preserve">Approved Budget </t>
  </si>
  <si>
    <t>Variance
Budget
minus
Expenses</t>
  </si>
  <si>
    <t>Percentage of Variance</t>
  </si>
  <si>
    <t>Percentage of Unit Cost</t>
  </si>
  <si>
    <t xml:space="preserve">Proposed Budget </t>
  </si>
  <si>
    <t>Review of Most Recent Completed Year Approved Budget to Actual Year End Expense and Current Proposed Budget</t>
  </si>
  <si>
    <t xml:space="preserve"> Expense per General Ledger</t>
  </si>
  <si>
    <t xml:space="preserve"> Proposed Budget</t>
  </si>
  <si>
    <t>Explanation of Variances</t>
  </si>
  <si>
    <t>Percentage Variance - Prior Year Actual to Proposed Budget</t>
  </si>
  <si>
    <t>Transportation</t>
  </si>
  <si>
    <t>Provider Total Budgeted Congregate Meals</t>
  </si>
  <si>
    <t>Total Revenue</t>
  </si>
  <si>
    <t>Other Sources 6</t>
  </si>
  <si>
    <t>Other Sources 5</t>
  </si>
  <si>
    <t>contract requirements and all applicable federal and state laws.</t>
  </si>
  <si>
    <t>By signing below, the provider acknowledges that all related records are subject to audit in accordance with</t>
  </si>
  <si>
    <t>Total Units by Funding Source</t>
  </si>
  <si>
    <t>Other Sources 8</t>
  </si>
  <si>
    <t>Other Sources 7</t>
  </si>
  <si>
    <t>Local Funds - Required Match 25%</t>
  </si>
  <si>
    <t>Local Funds - Required Match 10%</t>
  </si>
  <si>
    <t>Other Funds - Non-Eligible Trips</t>
  </si>
  <si>
    <t>Local Funds - Eligible Trips</t>
  </si>
  <si>
    <t xml:space="preserve">Program Income </t>
  </si>
  <si>
    <t>Proposed Units</t>
  </si>
  <si>
    <t>Budgeted Cost per Unit</t>
  </si>
  <si>
    <t>2. TDoA units</t>
  </si>
  <si>
    <t>AAA Initial</t>
  </si>
  <si>
    <t>Contractor Initial</t>
  </si>
  <si>
    <t>Contract Reimbursed at Full Cost Per Unit Rate. Match Requirements Will Be Met Through Provision of Additional Units</t>
  </si>
  <si>
    <t xml:space="preserve">**If any portion of the required match is in-kind, you must complete an In-Kind Match Certification form. </t>
  </si>
  <si>
    <t>5.</t>
  </si>
  <si>
    <t>5.Full Unit Rate Less Required Match (Line 3 minus Line 4)</t>
  </si>
  <si>
    <t>4.</t>
  </si>
  <si>
    <t xml:space="preserve">    Required Match</t>
  </si>
  <si>
    <t>**  If Applicable, Match Reduction  From the In-kind Match  Certification form</t>
  </si>
  <si>
    <t>4. Mandatory Local Match of</t>
  </si>
  <si>
    <t>Reimbursement Calculation for Contracts Requiring Unit Rate Match Reduction</t>
  </si>
  <si>
    <t>3. Cost per unit (Line 1 divided by Line 2) - Full Unit Rate</t>
  </si>
  <si>
    <t xml:space="preserve">2.Total Number of Anticipated Units to be Provided </t>
  </si>
  <si>
    <t xml:space="preserve">1.Total Budgeted Expenses for Contract Year </t>
  </si>
  <si>
    <t>BUDGET WORKSHEET CALCULATION OF THE UNIT RATE</t>
  </si>
  <si>
    <t>Total One Way Trips by Funding Source</t>
  </si>
  <si>
    <t>Proposed One Way Trips</t>
  </si>
  <si>
    <t>Approved One Way Trip Unit Rate</t>
  </si>
  <si>
    <t>Whole Cost per Trip</t>
  </si>
  <si>
    <t>Total Number One Way Trips</t>
  </si>
  <si>
    <t>Yes</t>
  </si>
  <si>
    <t>No</t>
  </si>
  <si>
    <t>Section 1</t>
  </si>
  <si>
    <t>Other Programs</t>
  </si>
  <si>
    <t>Example of how to use this information:</t>
  </si>
  <si>
    <t>Section 2</t>
  </si>
  <si>
    <t>Combined Inflation Factor</t>
  </si>
  <si>
    <t>Congregate Meal Budget Worksheet</t>
  </si>
  <si>
    <t>2.  Total Number of Anticipated Meals to be Provided  by Funding Source</t>
  </si>
  <si>
    <t>Other Funds - 
Non-Eligible Meals</t>
  </si>
  <si>
    <t>HDM</t>
  </si>
  <si>
    <t>CM</t>
  </si>
  <si>
    <t xml:space="preserve">Local Funds </t>
  </si>
  <si>
    <t xml:space="preserve">Other Funds </t>
  </si>
  <si>
    <t>Budgeted  Units</t>
  </si>
  <si>
    <t>Approved Meal Rate Title III</t>
  </si>
  <si>
    <t>Subtotal</t>
  </si>
  <si>
    <t>Total Budgeted Cost</t>
  </si>
  <si>
    <t>Percentage of Total Budgeted Meal Cost</t>
  </si>
  <si>
    <t>Percentage of Total Budgeted Meals</t>
  </si>
  <si>
    <t>Total Cost</t>
  </si>
  <si>
    <t>Percentage of Total Cost</t>
  </si>
  <si>
    <t>Cost per unit</t>
  </si>
  <si>
    <t>Whole Unit Rate (Full Cost per Meal)</t>
  </si>
  <si>
    <t xml:space="preserve">Compare the percentage of total personnel budgeted to the meal programs and other programs. Based on the percentages of total cost does the percentages appear reasonable and equitably distributed between programs? If the percentages are not easily identified as equitable a further review of the salaries may be necessary. There are many reasons for variances in percentage for example the agency may use volunteers for some of the programs this may cause  the overall percentages appear out of line.
REMEMBER: There are no right or wrong percentages. The reviewer through analysis of the budget and discussions with the provider must determine if the allocation is acceptable. 
The reviewers notes detailing budget review, discussions with the provider, and decisions made should be included in the work file. </t>
  </si>
  <si>
    <r>
      <t xml:space="preserve">This section is used to compare the amounts budgeted/allocated to each program by cost area. 
</t>
    </r>
    <r>
      <rPr>
        <i/>
        <sz val="10"/>
        <rFont val="Arial"/>
        <family val="2"/>
      </rPr>
      <t>Example:</t>
    </r>
    <r>
      <rPr>
        <sz val="10"/>
        <rFont val="Arial"/>
        <family val="2"/>
      </rPr>
      <t xml:space="preserve"> What percent of the agencies personnel cost is budgeted/allocated to home delivered meals versus congregate meals and other agency programs? The information should be used as a review tool to gain an understanding of the agencies overall budget and operations. </t>
    </r>
  </si>
  <si>
    <r>
      <t xml:space="preserve">Review each of the cost areas based on the three different ways the information is presented. Determine if  the dollar amount is reasonable for each of the cost areas. Is the percentage of the cost allocation between congregate and home delivered comparable to the percentage of total budgeted meals for each program?  
Review examples:  
</t>
    </r>
    <r>
      <rPr>
        <sz val="10"/>
        <rFont val="Wingdings 2"/>
        <family val="1"/>
        <charset val="2"/>
      </rPr>
      <t></t>
    </r>
    <r>
      <rPr>
        <sz val="8"/>
        <rFont val="Arial"/>
        <family val="2"/>
      </rPr>
      <t xml:space="preserve">  </t>
    </r>
    <r>
      <rPr>
        <sz val="10"/>
        <rFont val="Arial"/>
        <family val="2"/>
      </rPr>
      <t xml:space="preserve">Occupancy/Building cost is expected to be higher for congregate than home delivered because the home delivered program should only be charged a share of the cost for the kitchen and delivery preparation area for the time those areas are used to prepare and disburse meals. The congregate program would be charged a share of the cost for the kitchen area for the time those areas are used to prepare meals and include the cost associated with the area used to consume meals.
</t>
    </r>
    <r>
      <rPr>
        <sz val="10"/>
        <rFont val="Wingdings 2"/>
        <family val="1"/>
        <charset val="2"/>
      </rPr>
      <t></t>
    </r>
    <r>
      <rPr>
        <sz val="10"/>
        <rFont val="Arial"/>
        <family val="2"/>
      </rPr>
      <t xml:space="preserve">  How are Personnel costs allocated between the two meal programs?  Is the allocation based on the percentage of meals, percentage of total cost, or actual time spent between the two programs?
</t>
    </r>
    <r>
      <rPr>
        <sz val="10"/>
        <rFont val="Wingdings 2"/>
        <family val="1"/>
        <charset val="2"/>
      </rPr>
      <t xml:space="preserve"> </t>
    </r>
    <r>
      <rPr>
        <sz val="10"/>
        <rFont val="Arial"/>
        <family val="2"/>
      </rPr>
      <t xml:space="preserve">Review the cost per unit of raw food. Is the amount the same for both programs? If not, why are they different?
</t>
    </r>
    <r>
      <rPr>
        <sz val="10"/>
        <rFont val="Wingdings 2"/>
        <family val="1"/>
        <charset val="2"/>
      </rPr>
      <t xml:space="preserve"> </t>
    </r>
    <r>
      <rPr>
        <sz val="10"/>
        <rFont val="Arial"/>
        <family val="2"/>
      </rPr>
      <t xml:space="preserve">Review  the total cost per unit rates,  are the rates for the programs similar? Because the program requirements are different, small variances are expected. If the variances cannot be explained by program differences, you need to explain in your review papers why they are different.
</t>
    </r>
  </si>
  <si>
    <t xml:space="preserve">Variance (Provider Total Budgeted Home Delivered Meals - Total Meals by Funding Source) </t>
  </si>
  <si>
    <t xml:space="preserve">Variance (Provider Total Budgeted Congregate Meals - 
Total Meals by Funding Source) </t>
  </si>
  <si>
    <t>Most Recent Completed Budget Year</t>
  </si>
  <si>
    <t>Meal Delivery Consumable Supplies</t>
  </si>
  <si>
    <t xml:space="preserve">DADS  - Title XIX </t>
  </si>
  <si>
    <t>Title XIX</t>
  </si>
  <si>
    <t xml:space="preserve">Local Funds - Cap Limit Exceeded Title XIX </t>
  </si>
  <si>
    <t xml:space="preserve">9.   Excess of Cap Rate Reduction </t>
  </si>
  <si>
    <t>Street Address:</t>
  </si>
  <si>
    <t>Mailing Address:</t>
  </si>
  <si>
    <t>Zip Code:</t>
  </si>
  <si>
    <t>City:</t>
  </si>
  <si>
    <t>Phone Number:</t>
  </si>
  <si>
    <t>If Yes, select the AAA Name:</t>
  </si>
  <si>
    <t>Area Agency on Aging of the Alamo Area</t>
  </si>
  <si>
    <t>Area Agency on Aging of Ark-Tex</t>
  </si>
  <si>
    <t>Area Agency on Aging of Bexar County</t>
  </si>
  <si>
    <t>Area Agency on Aging of Brazos Valley</t>
  </si>
  <si>
    <t>Area Agency on Aging of the Capital Area</t>
  </si>
  <si>
    <t>Area Agency on Aging of Central Texas</t>
  </si>
  <si>
    <t>Area Agency on Aging of the Coastal Bend</t>
  </si>
  <si>
    <t>Area Agency on Aging of Concho Valley</t>
  </si>
  <si>
    <t>Area Agency on Aging of Dallas County</t>
  </si>
  <si>
    <t>Area Agency on Aging of Deep East Texas</t>
  </si>
  <si>
    <t>Area Agency on Aging of East Texas</t>
  </si>
  <si>
    <t>Area Agency on Aging of the Golden Crescent Region</t>
  </si>
  <si>
    <t>Area Agency on Aging of Harris County</t>
  </si>
  <si>
    <t>Area Agency on Aging of the Heart of Texas</t>
  </si>
  <si>
    <t>Area Agency on Aging of Houston-Galveston</t>
  </si>
  <si>
    <t>Area Agency on Aging of the Lower Rio Grande Valley</t>
  </si>
  <si>
    <t>Area Agency on Aging of the Middle Rio Grande Area</t>
  </si>
  <si>
    <t>Area Agency on Aging of North Central Texas</t>
  </si>
  <si>
    <t>Area Agency on Aging of North Texas</t>
  </si>
  <si>
    <t>Agency on Aging of the Panhandle Area</t>
  </si>
  <si>
    <t>Area Agency on Aging of the Permian Basin</t>
  </si>
  <si>
    <t>Agency on Aging of the Rio Grande Area</t>
  </si>
  <si>
    <t>Area Agency on Aging of Southeast Texas</t>
  </si>
  <si>
    <t>Area Agency on Aging of South Plains</t>
  </si>
  <si>
    <t>Area Agency on Aging of South Texas</t>
  </si>
  <si>
    <t>Area Agency on Aging of Tarrant County</t>
  </si>
  <si>
    <t>Area Agency on Aging of Texoma</t>
  </si>
  <si>
    <t>Area Agency on Aging of West Central Texas</t>
  </si>
  <si>
    <t>Contract</t>
  </si>
  <si>
    <t>Region 3</t>
  </si>
  <si>
    <t>Region 4</t>
  </si>
  <si>
    <t>Region 5</t>
  </si>
  <si>
    <t>Region 6</t>
  </si>
  <si>
    <t>Region 7</t>
  </si>
  <si>
    <t>Region 8</t>
  </si>
  <si>
    <t>Service Delivery Information</t>
  </si>
  <si>
    <t xml:space="preserve">Uniform Rate Negotiation Workbook/Budget </t>
  </si>
  <si>
    <t>Federal Contract Period:</t>
  </si>
  <si>
    <t>E-mail Address:</t>
  </si>
  <si>
    <t>Contact Name:</t>
  </si>
  <si>
    <t>If Yes, contact name at AAA:</t>
  </si>
  <si>
    <t>Budgeted Meals</t>
  </si>
  <si>
    <t>Whole Unit Rate</t>
  </si>
  <si>
    <t xml:space="preserve">Frozen Meals </t>
  </si>
  <si>
    <t>Chilled Meals</t>
  </si>
  <si>
    <t xml:space="preserve">Hot Meals </t>
  </si>
  <si>
    <t>Provider Prepared Meals</t>
  </si>
  <si>
    <t>Shelf Stable Meals</t>
  </si>
  <si>
    <t>Total Provider Prepared Meals</t>
  </si>
  <si>
    <t>AAA Name:</t>
  </si>
  <si>
    <t>Region Number:</t>
  </si>
  <si>
    <t>Region 2/9</t>
  </si>
  <si>
    <t>Region 1/10</t>
  </si>
  <si>
    <t>Region 11</t>
  </si>
  <si>
    <t>Nutrition Providers Legal Business Name:</t>
  </si>
  <si>
    <t>Total number of home delivered meal routes for this provider:</t>
  </si>
  <si>
    <t>Total number of meal preparation sites used by this provider:</t>
  </si>
  <si>
    <t>Total number of meal sites used by this provider:</t>
  </si>
  <si>
    <t>Did this Nutrition provider complete a rate setting workbook last year?</t>
  </si>
  <si>
    <t>Is the Provider a AAA Provider?</t>
  </si>
  <si>
    <t>Total Number Units</t>
  </si>
  <si>
    <t>Whole Cost per Unit</t>
  </si>
  <si>
    <t>Approved Unit Rate</t>
  </si>
  <si>
    <t xml:space="preserve">Percentage of Total Cost  </t>
  </si>
  <si>
    <t>DADS  - Title XIX (CBA)</t>
  </si>
  <si>
    <t>Other Funds Eligible Meals</t>
  </si>
  <si>
    <t>3.  Whole Unit Rate (Line 1 divided by Line 2)</t>
  </si>
  <si>
    <t xml:space="preserve">      Required Cash Match</t>
  </si>
  <si>
    <t xml:space="preserve">Accepted Unit Rate for Current Year </t>
  </si>
  <si>
    <t>3.   Whole Unit Rate  (Line 1 divided by Line 2)</t>
  </si>
  <si>
    <t>Nutrition Providers website address:</t>
  </si>
  <si>
    <t>Other Funds - Eligible Meals</t>
  </si>
  <si>
    <t>101ƒ</t>
  </si>
  <si>
    <t>Submission #</t>
  </si>
  <si>
    <t>Texas Health and Human Services</t>
  </si>
  <si>
    <t>1. An explanation of variance must be provided for each cost area where the expenses per General Ledger varies from the approved budget for the most recent completed year  by 10% or more; and
 2. An explanation of variance must be provided for each cost area where the proposed budget amount exceeds the prior year actual amount by more than the two year combined inflation factor.</t>
  </si>
  <si>
    <r>
      <rPr>
        <sz val="11"/>
        <rFont val="Arial"/>
        <family val="2"/>
      </rPr>
      <t>1. An explanation of varianc</t>
    </r>
    <r>
      <rPr>
        <sz val="10"/>
        <rFont val="Arial"/>
        <family val="2"/>
      </rPr>
      <t>e must be provided for each cost area where the expenses per General Ledger varies from the approved budget for the most recent completed year  by 10% or more; and
 2. An explanation of variance must be provided for each cost area where the proposed budget amount exceeds the prior year actual amount by more than the two year combined inflation factor.</t>
    </r>
  </si>
  <si>
    <t>1. An explanation of variance must be provided for each cost area where the expenses per General Ledger varies from the approved budget for the most recent completed year  by 10% or more; and 
 2. An explanation of variance must be provided for each cost area where the proposed budget amount exceeds the prior year actual amount by more than the two year combined inflation factor.</t>
  </si>
  <si>
    <t>Is the Provider a HHS Contracted Community Services Provider?</t>
  </si>
  <si>
    <t>If Yes, Contract Manager name at HHS Contracted Community Services:</t>
  </si>
  <si>
    <t>If Yes, select the HHS Region Number:</t>
  </si>
  <si>
    <t>If Yes, enter the HHS contract number:</t>
  </si>
  <si>
    <t>Does this Nutrition provider serve home delivered meals paid for by HHS or the AAA?</t>
  </si>
  <si>
    <t>HHS  - Title XX</t>
  </si>
  <si>
    <t>Health and Human Services</t>
  </si>
  <si>
    <t>HHS Title XIX Proposed Meals *Calculated Rate</t>
  </si>
  <si>
    <t xml:space="preserve">exclude Nutrition Education costs from the meal rate.
</t>
  </si>
  <si>
    <r>
      <t>If the cost of Nutrition Education is to be provided as a separate service, enter an</t>
    </r>
    <r>
      <rPr>
        <b/>
        <sz val="10"/>
        <color indexed="10"/>
        <rFont val="Arial"/>
        <family val="2"/>
      </rPr>
      <t xml:space="preserve"> N</t>
    </r>
    <r>
      <rPr>
        <b/>
        <sz val="10"/>
        <rFont val="Arial"/>
        <family val="2"/>
      </rPr>
      <t>. This will</t>
    </r>
  </si>
  <si>
    <t>HHS - OAAA</t>
  </si>
  <si>
    <t>Local Funds - Cap Limit Exceeded HHS OAAA &amp; Title XX</t>
  </si>
  <si>
    <t>HHS OAAA Proposed Meals +Title XX Proposed Meals *Calculated Rate</t>
  </si>
  <si>
    <t>HHS OAAA &amp; Title XX</t>
  </si>
  <si>
    <t>HHS OAAA</t>
  </si>
  <si>
    <t xml:space="preserve">8.  Rate Cap Applicable to Title XIX, Title XX 
     and HHS OAAA Common Providers </t>
  </si>
  <si>
    <t>HHS OAAA - Match Required</t>
  </si>
  <si>
    <t>HHS OAAA - 10 % Match Required</t>
  </si>
  <si>
    <t>HHS OAAA - 25 % Match Required</t>
  </si>
  <si>
    <t xml:space="preserve">HHS OAAA - Full Unit Rate </t>
  </si>
  <si>
    <t>If Yes, is it a contract or subrecipient?</t>
  </si>
  <si>
    <t>AAA Contractors/Subrecipients may choose to provide required Nutrition Education as a separate service and exclude costs related to Nutrition Education from the meal rate.</t>
  </si>
  <si>
    <t>Subrecipient</t>
  </si>
  <si>
    <t>If Yes, what was the provider name listed on the workbook?</t>
  </si>
  <si>
    <t>Type of Provider:</t>
  </si>
  <si>
    <t>Provider Service Area</t>
  </si>
  <si>
    <t>Congregate Meals Service Area:</t>
  </si>
  <si>
    <r>
      <t xml:space="preserve">Please specify the provider's service area by geographical location (county, city, zip code, etc.) If the provider serves an entire county, record the name of the county. City, zip code, and other designations can be used when the provider agency is not serving an entire county. 
</t>
    </r>
    <r>
      <rPr>
        <b/>
        <i/>
        <sz val="10"/>
        <rFont val="Arial"/>
        <family val="2"/>
      </rPr>
      <t>Examples</t>
    </r>
    <r>
      <rPr>
        <sz val="10"/>
        <rFont val="Arial"/>
        <family val="2"/>
      </rPr>
      <t xml:space="preserve">: 1) City of El Paso; 2) Harris County; 3) Two mile radius of the city limits of Rockdale and Cameron; 4) City of Cedar Park, Leander Zip Codes 78745 and 78746. </t>
    </r>
  </si>
  <si>
    <t>For any item identified below, the provider must maintain monthly supporting documentation.</t>
  </si>
  <si>
    <t xml:space="preserve">Home Delivered Meals - AAA Service Area: </t>
  </si>
  <si>
    <r>
      <t xml:space="preserve">This section is a summary of information to use to analyze the cost and how they are allocated between Congregate and Home Delivered Meals. The information is presented in three different ways:
</t>
    </r>
    <r>
      <rPr>
        <sz val="10"/>
        <rFont val="Wingdings 2"/>
        <family val="1"/>
        <charset val="2"/>
      </rPr>
      <t></t>
    </r>
    <r>
      <rPr>
        <sz val="10"/>
        <rFont val="Arial"/>
        <family val="2"/>
      </rPr>
      <t xml:space="preserve"> Total Cost: Amount budgeted by cost area
</t>
    </r>
    <r>
      <rPr>
        <sz val="10"/>
        <rFont val="Wingdings 2"/>
        <family val="1"/>
        <charset val="2"/>
      </rPr>
      <t></t>
    </r>
    <r>
      <rPr>
        <sz val="10"/>
        <rFont val="Arial"/>
        <family val="2"/>
      </rPr>
      <t xml:space="preserve"> Percentage of total cost: Percentage of the total of cost area for the two meal programs applied to each program
</t>
    </r>
    <r>
      <rPr>
        <sz val="10"/>
        <rFont val="Wingdings 2"/>
        <family val="1"/>
        <charset val="2"/>
      </rPr>
      <t></t>
    </r>
    <r>
      <rPr>
        <sz val="10"/>
        <rFont val="Arial"/>
        <family val="2"/>
      </rPr>
      <t xml:space="preserve"> Cost per unit: How much of the unit cost is used to pay for each cost area. $X.XX of the cost of each meal is for XX cost area.
Below the cost area summary information is additional information showing:
</t>
    </r>
    <r>
      <rPr>
        <sz val="10"/>
        <rFont val="Wingdings 2"/>
        <family val="1"/>
        <charset val="2"/>
      </rPr>
      <t></t>
    </r>
    <r>
      <rPr>
        <sz val="10"/>
        <rFont val="Arial"/>
        <family val="2"/>
      </rPr>
      <t xml:space="preserve"> Percentage of the total budgeted meal cost applied to the home delivered and congregate meal programs</t>
    </r>
    <r>
      <rPr>
        <sz val="8"/>
        <rFont val="Arial"/>
        <family val="2"/>
      </rPr>
      <t xml:space="preserve">
</t>
    </r>
    <r>
      <rPr>
        <sz val="10"/>
        <rFont val="Wingdings 2"/>
        <family val="1"/>
        <charset val="2"/>
      </rPr>
      <t></t>
    </r>
    <r>
      <rPr>
        <sz val="10"/>
        <rFont val="Arial"/>
        <family val="2"/>
      </rPr>
      <t xml:space="preserve"> Percentage of the total budgeted meals (home delivered &amp; congregate) applied to the home delivered and congregate programs.
</t>
    </r>
    <r>
      <rPr>
        <sz val="10"/>
        <rFont val="Wingdings 2"/>
        <family val="1"/>
        <charset val="2"/>
      </rPr>
      <t></t>
    </r>
    <r>
      <rPr>
        <sz val="8"/>
        <rFont val="Arial"/>
        <family val="2"/>
      </rPr>
      <t xml:space="preserve"> </t>
    </r>
    <r>
      <rPr>
        <sz val="10"/>
        <rFont val="Arial"/>
        <family val="2"/>
      </rPr>
      <t xml:space="preserve">Whole Unit rate for each meal program
</t>
    </r>
    <r>
      <rPr>
        <sz val="10"/>
        <rFont val="Wingdings 2"/>
        <family val="1"/>
        <charset val="2"/>
      </rPr>
      <t></t>
    </r>
    <r>
      <rPr>
        <sz val="8"/>
        <rFont val="Arial"/>
        <family val="2"/>
      </rPr>
      <t xml:space="preserve"> </t>
    </r>
    <r>
      <rPr>
        <sz val="10"/>
        <rFont val="Arial"/>
        <family val="2"/>
      </rPr>
      <t>Calculated meal rate based on information entered on the home delivered and congregate meal budget worksheets.</t>
    </r>
  </si>
  <si>
    <t>Does this Nutrition provider serve congregate meals paid for by the AAA?</t>
  </si>
  <si>
    <t>Does this Nutrition provider have an approved Home Delivered Nutrition Waiver for 2022?</t>
  </si>
  <si>
    <t>Is this Nutrition provider requesting a Home Delivered Nutrition Program Approval for 2023?</t>
  </si>
  <si>
    <t>Does this Nutrition provider have an approved Congregate Nutrition Waiver for 2022?</t>
  </si>
  <si>
    <t>Is this Nutrition provider requesting a Congregate Nutrition Program Approval for 2023?</t>
  </si>
  <si>
    <t>Other Meal Programs
(non-HHS)</t>
  </si>
  <si>
    <t>Inflation Factor 2023 to 2024</t>
  </si>
  <si>
    <t>Does the provider make home delivered meals available at least 5 days a week and 250 days a year?</t>
  </si>
  <si>
    <t>Does the provider make congregate meals available at least 5 days a week and 250 days a year?</t>
  </si>
  <si>
    <r>
      <t>Nutrition Education CCS Clients</t>
    </r>
    <r>
      <rPr>
        <strike/>
        <sz val="10"/>
        <color rgb="FFFF0000"/>
        <rFont val="Arial"/>
        <family val="2"/>
      </rPr>
      <t xml:space="preserve"> </t>
    </r>
    <r>
      <rPr>
        <sz val="10"/>
        <color rgb="FF0000FF"/>
        <rFont val="Arial"/>
        <family val="2"/>
      </rPr>
      <t>NA</t>
    </r>
  </si>
  <si>
    <t>Expense per General Ledger</t>
  </si>
  <si>
    <t>Approved Budget</t>
  </si>
  <si>
    <t>Variance Budget minus Expenses</t>
  </si>
  <si>
    <t>Proposed Budget</t>
  </si>
  <si>
    <t>Percentage Variance Prior Year Actual to Proposed Budget</t>
  </si>
  <si>
    <r>
      <rPr>
        <sz val="10"/>
        <rFont val="Arial"/>
        <family val="2"/>
      </rPr>
      <t xml:space="preserve">Documented prevailing wage in the Area. For prevailing wage information visit the Texas Workforce Commission’s website at </t>
    </r>
    <r>
      <rPr>
        <u/>
        <sz val="10"/>
        <color indexed="12"/>
        <rFont val="Arial"/>
        <family val="2"/>
      </rPr>
      <t>https://efte.twc.texas.gov/prevailing_wage_issues.html</t>
    </r>
  </si>
  <si>
    <r>
      <rPr>
        <sz val="10"/>
        <rFont val="Arial"/>
        <family val="2"/>
      </rPr>
      <t>Documented prevailing wage in the Area. For prevailing wage information visit the Texas Workforce Commission’s website at</t>
    </r>
    <r>
      <rPr>
        <sz val="10"/>
        <color indexed="12"/>
        <rFont val="Arial"/>
        <family val="2"/>
      </rPr>
      <t xml:space="preserve"> </t>
    </r>
    <r>
      <rPr>
        <u/>
        <sz val="10"/>
        <color indexed="12"/>
        <rFont val="Arial"/>
        <family val="2"/>
      </rPr>
      <t>https://efte.twc.texas.gov/prevailing_wage_issues.html</t>
    </r>
  </si>
  <si>
    <t>10-01-24 / 09-30-25</t>
  </si>
  <si>
    <t xml:space="preserve">This section is used to identify the nutrition provider's service area for FFY 2025. This will assist HHS in defining unserved areas of the state. 
</t>
  </si>
  <si>
    <t>Inflation Factor 2024 to 2025</t>
  </si>
  <si>
    <t>As of May 26, 2023, Common Provider Unit Rate cannot exceed 6.46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</si>
</sst>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_(&quot;$&quot;* \(#,##0.00\);_(&quot;$&quot;* &quot;-&quot;??_);_(@_)"/>
    <numFmt numFmtId="43" formatCode="_(* #,##0.00_);_(* \(#,##0.00\);_(* &quot;-&quot;??_);_(@_)"/>
    <numFmt numFmtId="164" formatCode="&quot;$&quot;#,##0.00"/>
    <numFmt numFmtId="165" formatCode="_(* #,##0_);_(* \(#,##0\);_(* &quot;-&quot;??_);_(@_)"/>
    <numFmt numFmtId="166" formatCode="&quot;$&quot;#,##0"/>
    <numFmt numFmtId="167" formatCode="[$-409]mmmm\ d\,\ yyyy;@"/>
    <numFmt numFmtId="168" formatCode="0.000%"/>
    <numFmt numFmtId="169" formatCode="0_);[Red]\(0\)"/>
    <numFmt numFmtId="170" formatCode="0.00_);[Red]\(0.00\)"/>
    <numFmt numFmtId="171" formatCode="m/d/yyyy\ h:mm\ AM/PM"/>
    <numFmt numFmtId="172" formatCode="[$-409]m/d/yy\ h:mm\ AM/PM;@"/>
  </numFmts>
  <fonts count="80">
    <font>
      <sz val="10"/>
      <name val="Arial"/>
    </font>
    <font>
      <sz val="10"/>
      <name val="Arial"/>
      <family val="2"/>
    </font>
    <font>
      <sz val="10"/>
      <name val="Arial"/>
      <family val="2"/>
    </font>
    <font>
      <b/>
      <sz val="10"/>
      <name val="Arial"/>
      <family val="2"/>
    </font>
    <font>
      <b/>
      <sz val="12"/>
      <name val="Arial"/>
      <family val="2"/>
    </font>
    <font>
      <sz val="14"/>
      <name val="Arial"/>
      <family val="2"/>
    </font>
    <font>
      <b/>
      <sz val="11"/>
      <name val="Arial"/>
      <family val="2"/>
    </font>
    <font>
      <u/>
      <sz val="10"/>
      <color indexed="12"/>
      <name val="Arial"/>
      <family val="2"/>
    </font>
    <font>
      <b/>
      <sz val="10"/>
      <color indexed="10"/>
      <name val="Arial"/>
      <family val="2"/>
    </font>
    <font>
      <sz val="11"/>
      <name val="Times New Roman"/>
      <family val="1"/>
    </font>
    <font>
      <b/>
      <sz val="11"/>
      <name val="Times New Roman"/>
      <family val="1"/>
    </font>
    <font>
      <u/>
      <sz val="11"/>
      <color indexed="12"/>
      <name val="Times New Roman"/>
      <family val="1"/>
    </font>
    <font>
      <sz val="10"/>
      <color indexed="12"/>
      <name val="Arial"/>
      <family val="2"/>
    </font>
    <font>
      <b/>
      <sz val="14"/>
      <name val="Times New Roman"/>
      <family val="1"/>
    </font>
    <font>
      <b/>
      <sz val="12"/>
      <name val="Times New Roman"/>
      <family val="1"/>
    </font>
    <font>
      <sz val="13"/>
      <name val="Symbol"/>
      <family val="1"/>
      <charset val="2"/>
    </font>
    <font>
      <b/>
      <sz val="13"/>
      <name val="Times New Roman"/>
      <family val="1"/>
    </font>
    <font>
      <b/>
      <sz val="8"/>
      <name val="Times New Roman"/>
      <family val="1"/>
    </font>
    <font>
      <b/>
      <sz val="9"/>
      <name val="Times New Roman"/>
      <family val="1"/>
    </font>
    <font>
      <b/>
      <sz val="14"/>
      <name val="Arial"/>
      <family val="2"/>
    </font>
    <font>
      <sz val="10"/>
      <name val="Arial"/>
      <family val="2"/>
    </font>
    <font>
      <b/>
      <sz val="10"/>
      <name val="Arial"/>
      <family val="2"/>
    </font>
    <font>
      <sz val="10"/>
      <name val="Arial"/>
      <family val="2"/>
    </font>
    <font>
      <sz val="10"/>
      <name val="Arial"/>
      <family val="2"/>
    </font>
    <font>
      <i/>
      <sz val="10"/>
      <name val="Arial"/>
      <family val="2"/>
    </font>
    <font>
      <sz val="10"/>
      <name val="Arial"/>
      <family val="2"/>
    </font>
    <font>
      <sz val="10"/>
      <name val="Arial"/>
      <family val="2"/>
    </font>
    <font>
      <sz val="10"/>
      <color indexed="17"/>
      <name val="Arial"/>
      <family val="2"/>
    </font>
    <font>
      <sz val="10"/>
      <name val="Arial"/>
      <family val="2"/>
    </font>
    <font>
      <b/>
      <sz val="10"/>
      <color indexed="10"/>
      <name val="Arial"/>
      <family val="2"/>
    </font>
    <font>
      <sz val="11"/>
      <name val="Arial"/>
      <family val="2"/>
    </font>
    <font>
      <sz val="10"/>
      <color indexed="17"/>
      <name val="Arial"/>
      <family val="2"/>
    </font>
    <font>
      <b/>
      <i/>
      <sz val="10"/>
      <name val="Arial"/>
      <family val="2"/>
    </font>
    <font>
      <sz val="10"/>
      <name val="Wingdings 2"/>
      <family val="1"/>
      <charset val="2"/>
    </font>
    <font>
      <sz val="8"/>
      <name val="Arial"/>
      <family val="2"/>
    </font>
    <font>
      <sz val="10"/>
      <color rgb="FF0070C0"/>
      <name val="Arial"/>
      <family val="2"/>
    </font>
    <font>
      <b/>
      <sz val="11"/>
      <color rgb="FF7030A0"/>
      <name val="Times New Roman"/>
      <family val="1"/>
    </font>
    <font>
      <b/>
      <sz val="11"/>
      <color rgb="FF00B050"/>
      <name val="Times New Roman"/>
      <family val="1"/>
    </font>
    <font>
      <sz val="10"/>
      <color rgb="FF00B050"/>
      <name val="Arial"/>
      <family val="2"/>
    </font>
    <font>
      <b/>
      <sz val="10"/>
      <color rgb="FF00B050"/>
      <name val="Arial"/>
      <family val="2"/>
    </font>
    <font>
      <sz val="10"/>
      <color theme="0"/>
      <name val="Arial"/>
      <family val="2"/>
    </font>
    <font>
      <sz val="10"/>
      <color rgb="FF7030A0"/>
      <name val="Arial"/>
      <family val="2"/>
    </font>
    <font>
      <sz val="10"/>
      <color rgb="FFC00000"/>
      <name val="Arial"/>
      <family val="2"/>
    </font>
    <font>
      <sz val="10"/>
      <color rgb="FF0000FF"/>
      <name val="Arial"/>
      <family val="2"/>
    </font>
    <font>
      <b/>
      <sz val="12"/>
      <color rgb="FFC00000"/>
      <name val="Arial"/>
      <family val="2"/>
    </font>
    <font>
      <b/>
      <sz val="12"/>
      <color rgb="FF7030A0"/>
      <name val="Arial"/>
      <family val="2"/>
    </font>
    <font>
      <b/>
      <sz val="14"/>
      <color rgb="FF7030A0"/>
      <name val="Times Roman Bold"/>
      <family val="1"/>
    </font>
    <font>
      <b/>
      <sz val="14"/>
      <color rgb="FF7030A0"/>
      <name val="Times New Roman"/>
      <family val="1"/>
    </font>
    <font>
      <b/>
      <sz val="12"/>
      <color rgb="FF00B050"/>
      <name val="Arial"/>
      <family val="2"/>
    </font>
    <font>
      <b/>
      <sz val="14"/>
      <color rgb="FF00B050"/>
      <name val="Times Roman Bold"/>
      <family val="1"/>
    </font>
    <font>
      <b/>
      <sz val="14"/>
      <color rgb="FF00B050"/>
      <name val="Times New Roman"/>
      <family val="1"/>
    </font>
    <font>
      <b/>
      <sz val="12"/>
      <color rgb="FFFF3300"/>
      <name val="Arial"/>
      <family val="2"/>
    </font>
    <font>
      <b/>
      <sz val="14"/>
      <color rgb="FFFF3300"/>
      <name val="Times Roman Bold"/>
      <family val="1"/>
    </font>
    <font>
      <b/>
      <sz val="14"/>
      <color rgb="FFFF3300"/>
      <name val="Times New Roman"/>
      <family val="1"/>
    </font>
    <font>
      <b/>
      <sz val="11"/>
      <color rgb="FFFF3300"/>
      <name val="Times New Roman"/>
      <family val="1"/>
    </font>
    <font>
      <b/>
      <sz val="12"/>
      <color rgb="FF3366FF"/>
      <name val="Arial"/>
      <family val="2"/>
    </font>
    <font>
      <b/>
      <sz val="14"/>
      <color rgb="FF3366FF"/>
      <name val="Times Roman Bold"/>
      <family val="1"/>
    </font>
    <font>
      <b/>
      <sz val="14"/>
      <color rgb="FF3366FF"/>
      <name val="Times New Roman"/>
      <family val="1"/>
    </font>
    <font>
      <b/>
      <sz val="11"/>
      <color rgb="FF3366FF"/>
      <name val="Times New Roman"/>
      <family val="1"/>
    </font>
    <font>
      <sz val="10"/>
      <color indexed="8"/>
      <name val="Arial"/>
      <family val="2"/>
    </font>
    <font>
      <sz val="11"/>
      <color indexed="8"/>
      <name val="Calibri"/>
      <family val="2"/>
    </font>
    <font>
      <b/>
      <sz val="10"/>
      <color rgb="FFFF0000"/>
      <name val="Arial"/>
      <family val="2"/>
    </font>
    <font>
      <sz val="10"/>
      <color rgb="FF454545"/>
      <name val="Arial"/>
      <family val="2"/>
    </font>
    <font>
      <sz val="12"/>
      <name val="Arial"/>
      <family val="2"/>
    </font>
    <font>
      <sz val="11"/>
      <color rgb="FF0000FF"/>
      <name val="Times New Roman"/>
      <family val="1"/>
    </font>
    <font>
      <b/>
      <sz val="11"/>
      <color rgb="FF0000FF"/>
      <name val="Times New Roman"/>
      <family val="1"/>
    </font>
    <font>
      <b/>
      <sz val="10"/>
      <color rgb="FF0000FF"/>
      <name val="Arial"/>
      <family val="2"/>
    </font>
    <font>
      <b/>
      <sz val="14"/>
      <color rgb="FF008000"/>
      <name val="Arial"/>
      <family val="2"/>
    </font>
    <font>
      <sz val="10"/>
      <color rgb="FF008000"/>
      <name val="Arial"/>
      <family val="2"/>
    </font>
    <font>
      <b/>
      <sz val="10"/>
      <color rgb="FF008000"/>
      <name val="Arial"/>
      <family val="2"/>
    </font>
    <font>
      <sz val="10"/>
      <color theme="6" tint="-0.499984740745262"/>
      <name val="Arial"/>
      <family val="2"/>
    </font>
    <font>
      <b/>
      <sz val="10"/>
      <color theme="6" tint="-0.499984740745262"/>
      <name val="Arial"/>
      <family val="2"/>
    </font>
    <font>
      <sz val="10"/>
      <color rgb="FFFF0000"/>
      <name val="Arial"/>
      <family val="2"/>
    </font>
    <font>
      <b/>
      <i/>
      <sz val="10"/>
      <color rgb="FFFF0000"/>
      <name val="Arial"/>
      <family val="2"/>
    </font>
    <font>
      <strike/>
      <sz val="10"/>
      <name val="Arial"/>
      <family val="2"/>
    </font>
    <font>
      <b/>
      <strike/>
      <sz val="10"/>
      <name val="Arial"/>
      <family val="2"/>
    </font>
    <font>
      <b/>
      <strike/>
      <sz val="10"/>
      <color rgb="FFFF0000"/>
      <name val="Arial"/>
      <family val="2"/>
    </font>
    <font>
      <strike/>
      <sz val="10"/>
      <color rgb="FFFF0000"/>
      <name val="Arial"/>
      <family val="2"/>
    </font>
    <font>
      <sz val="9"/>
      <color indexed="81"/>
      <name val="Tahoma"/>
      <charset val="1"/>
    </font>
    <font>
      <b/>
      <sz val="9"/>
      <color indexed="81"/>
      <name val="Tahoma"/>
      <charset val="1"/>
    </font>
  </fonts>
  <fills count="12">
    <fill>
      <patternFill patternType="none"/>
    </fill>
    <fill>
      <patternFill patternType="gray125"/>
    </fill>
    <fill>
      <patternFill patternType="solid">
        <fgColor indexed="8"/>
        <bgColor indexed="64"/>
      </patternFill>
    </fill>
    <fill>
      <patternFill patternType="solid">
        <fgColor rgb="FFFFFF00"/>
        <bgColor indexed="64"/>
      </patternFill>
    </fill>
    <fill>
      <patternFill patternType="solid">
        <fgColor rgb="FF00B050"/>
        <bgColor indexed="64"/>
      </patternFill>
    </fill>
    <fill>
      <patternFill patternType="solid">
        <fgColor rgb="FFA162D0"/>
        <bgColor indexed="64"/>
      </patternFill>
    </fill>
    <fill>
      <patternFill patternType="solid">
        <fgColor theme="3" tint="0.39997558519241921"/>
        <bgColor indexed="64"/>
      </patternFill>
    </fill>
    <fill>
      <patternFill patternType="solid">
        <fgColor theme="9" tint="-0.249977111117893"/>
        <bgColor indexed="64"/>
      </patternFill>
    </fill>
    <fill>
      <patternFill patternType="solid">
        <fgColor indexed="22"/>
        <bgColor indexed="0"/>
      </patternFill>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s>
  <borders count="48">
    <border>
      <left/>
      <right/>
      <top/>
      <bottom/>
      <diagonal/>
    </border>
    <border>
      <left/>
      <right/>
      <top/>
      <bottom style="thin">
        <color indexed="64"/>
      </bottom>
      <diagonal/>
    </border>
    <border>
      <left style="double">
        <color indexed="8"/>
      </left>
      <right/>
      <top style="double">
        <color indexed="8"/>
      </top>
      <bottom/>
      <diagonal/>
    </border>
    <border>
      <left/>
      <right/>
      <top style="double">
        <color indexed="8"/>
      </top>
      <bottom/>
      <diagonal/>
    </border>
    <border>
      <left/>
      <right style="thin">
        <color indexed="8"/>
      </right>
      <top style="double">
        <color indexed="8"/>
      </top>
      <bottom/>
      <diagonal/>
    </border>
    <border>
      <left style="thin">
        <color indexed="8"/>
      </left>
      <right style="thin">
        <color indexed="8"/>
      </right>
      <top style="double">
        <color indexed="8"/>
      </top>
      <bottom/>
      <diagonal/>
    </border>
    <border>
      <left/>
      <right style="double">
        <color indexed="8"/>
      </right>
      <top style="double">
        <color indexed="8"/>
      </top>
      <bottom/>
      <diagonal/>
    </border>
    <border>
      <left style="thin">
        <color indexed="8"/>
      </left>
      <right style="thin">
        <color indexed="8"/>
      </right>
      <top/>
      <bottom style="thin">
        <color indexed="8"/>
      </bottom>
      <diagonal/>
    </border>
    <border>
      <left style="thin">
        <color indexed="8"/>
      </left>
      <right style="double">
        <color indexed="8"/>
      </right>
      <top/>
      <bottom style="thin">
        <color indexed="8"/>
      </bottom>
      <diagonal/>
    </border>
    <border>
      <left style="thin">
        <color indexed="8"/>
      </left>
      <right style="thin">
        <color indexed="8"/>
      </right>
      <top style="thin">
        <color indexed="8"/>
      </top>
      <bottom style="double">
        <color indexed="8"/>
      </bottom>
      <diagonal/>
    </border>
    <border>
      <left style="thin">
        <color indexed="8"/>
      </left>
      <right style="double">
        <color indexed="8"/>
      </right>
      <top style="thin">
        <color indexed="8"/>
      </top>
      <bottom style="double">
        <color indexed="8"/>
      </bottom>
      <diagonal/>
    </border>
    <border>
      <left style="thin">
        <color indexed="8"/>
      </left>
      <right style="thin">
        <color indexed="8"/>
      </right>
      <top style="thin">
        <color indexed="8"/>
      </top>
      <bottom style="thin">
        <color indexed="8"/>
      </bottom>
      <diagonal/>
    </border>
    <border>
      <left style="thin">
        <color indexed="8"/>
      </left>
      <right style="double">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bottom/>
      <diagonal/>
    </border>
    <border>
      <left style="double">
        <color indexed="64"/>
      </left>
      <right/>
      <top/>
      <bottom/>
      <diagonal/>
    </border>
    <border>
      <left/>
      <right style="double">
        <color indexed="64"/>
      </right>
      <top style="double">
        <color indexed="64"/>
      </top>
      <bottom/>
      <diagonal/>
    </border>
    <border>
      <left style="double">
        <color indexed="64"/>
      </left>
      <right/>
      <top style="double">
        <color indexed="64"/>
      </top>
      <bottom/>
      <diagonal/>
    </border>
    <border>
      <left/>
      <right/>
      <top style="thin">
        <color indexed="64"/>
      </top>
      <bottom style="thin">
        <color indexed="64"/>
      </bottom>
      <diagonal/>
    </border>
    <border diagonalUp="1">
      <left style="thin">
        <color indexed="64"/>
      </left>
      <right style="thin">
        <color indexed="64"/>
      </right>
      <top/>
      <bottom/>
      <diagonal style="thin">
        <color indexed="64"/>
      </diagonal>
    </border>
    <border>
      <left style="double">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double">
        <color indexed="8"/>
      </left>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style="double">
        <color indexed="8"/>
      </left>
      <right/>
      <top/>
      <bottom style="thin">
        <color indexed="64"/>
      </bottom>
      <diagonal/>
    </border>
    <border>
      <left/>
      <right style="thin">
        <color indexed="8"/>
      </right>
      <top/>
      <bottom style="thin">
        <color indexed="64"/>
      </bottom>
      <diagonal/>
    </border>
    <border>
      <left style="double">
        <color indexed="8"/>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style="thin">
        <color indexed="22"/>
      </left>
      <right style="thin">
        <color indexed="22"/>
      </right>
      <top style="thin">
        <color indexed="22"/>
      </top>
      <bottom style="thin">
        <color indexed="22"/>
      </bottom>
      <diagonal/>
    </border>
    <border diagonalUp="1">
      <left style="thin">
        <color indexed="64"/>
      </left>
      <right style="thin">
        <color indexed="64"/>
      </right>
      <top style="thin">
        <color indexed="64"/>
      </top>
      <bottom style="thin">
        <color indexed="64"/>
      </bottom>
      <diagonal style="thin">
        <color indexed="64"/>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alignment vertical="top"/>
      <protection locked="0"/>
    </xf>
    <xf numFmtId="9" fontId="1" fillId="0" borderId="0" applyFont="0" applyFill="0" applyBorder="0" applyAlignment="0" applyProtection="0"/>
    <xf numFmtId="0" fontId="59" fillId="0" borderId="0"/>
  </cellStyleXfs>
  <cellXfs count="1063">
    <xf numFmtId="0" fontId="0" fillId="0" borderId="0" xfId="0"/>
    <xf numFmtId="0" fontId="0" fillId="0" borderId="0" xfId="0" applyAlignment="1">
      <alignment horizontal="center"/>
    </xf>
    <xf numFmtId="0" fontId="0" fillId="0" borderId="0" xfId="0" quotePrefix="1" applyAlignment="1">
      <alignment horizontal="left"/>
    </xf>
    <xf numFmtId="0" fontId="0" fillId="0" borderId="0" xfId="0" quotePrefix="1"/>
    <xf numFmtId="44" fontId="0" fillId="0" borderId="1" xfId="2" applyFont="1" applyBorder="1" applyProtection="1"/>
    <xf numFmtId="0" fontId="0" fillId="0" borderId="1" xfId="0" applyBorder="1"/>
    <xf numFmtId="165" fontId="0" fillId="0" borderId="1" xfId="1" applyNumberFormat="1" applyFont="1" applyBorder="1" applyProtection="1"/>
    <xf numFmtId="0" fontId="0" fillId="0" borderId="1" xfId="0" applyBorder="1" applyAlignment="1">
      <alignment horizontal="center"/>
    </xf>
    <xf numFmtId="164" fontId="0" fillId="0" borderId="1" xfId="0" applyNumberFormat="1" applyBorder="1" applyAlignment="1">
      <alignment horizontal="center"/>
    </xf>
    <xf numFmtId="43" fontId="0" fillId="0" borderId="0" xfId="1" applyFont="1" applyProtection="1"/>
    <xf numFmtId="165" fontId="0" fillId="0" borderId="0" xfId="1" applyNumberFormat="1" applyFont="1" applyAlignment="1" applyProtection="1">
      <alignment horizontal="center"/>
    </xf>
    <xf numFmtId="165" fontId="0" fillId="0" borderId="0" xfId="1" applyNumberFormat="1" applyFont="1" applyProtection="1"/>
    <xf numFmtId="43" fontId="0" fillId="0" borderId="0" xfId="0" applyNumberFormat="1"/>
    <xf numFmtId="43" fontId="0" fillId="0" borderId="1" xfId="1" applyFont="1" applyBorder="1" applyProtection="1"/>
    <xf numFmtId="0" fontId="10" fillId="0" borderId="0" xfId="0" applyFont="1" applyAlignment="1">
      <alignment horizontal="center"/>
    </xf>
    <xf numFmtId="0" fontId="9" fillId="0" borderId="0" xfId="0" applyFont="1"/>
    <xf numFmtId="0" fontId="9" fillId="0" borderId="0" xfId="0" applyFont="1" applyAlignment="1">
      <alignment horizontal="center"/>
    </xf>
    <xf numFmtId="0" fontId="9" fillId="0" borderId="2" xfId="0" applyFont="1" applyBorder="1" applyAlignment="1">
      <alignment horizontal="center" vertical="top" wrapText="1"/>
    </xf>
    <xf numFmtId="0" fontId="9" fillId="0" borderId="3" xfId="0" applyFont="1" applyBorder="1" applyAlignment="1">
      <alignment horizontal="center" vertical="top" wrapText="1"/>
    </xf>
    <xf numFmtId="0" fontId="9" fillId="0" borderId="4" xfId="0" applyFont="1" applyBorder="1" applyAlignment="1">
      <alignment horizontal="center" vertical="top" wrapText="1"/>
    </xf>
    <xf numFmtId="0" fontId="9" fillId="0" borderId="5" xfId="0" applyFont="1" applyBorder="1" applyAlignment="1">
      <alignment horizontal="center" vertical="top" wrapText="1"/>
    </xf>
    <xf numFmtId="0" fontId="9" fillId="0" borderId="6" xfId="0" applyFont="1" applyBorder="1" applyAlignment="1">
      <alignment horizontal="center" vertical="top" wrapText="1"/>
    </xf>
    <xf numFmtId="0" fontId="9" fillId="0" borderId="7" xfId="0" applyFont="1" applyBorder="1" applyAlignment="1">
      <alignment horizontal="center" vertical="top" wrapText="1"/>
    </xf>
    <xf numFmtId="0" fontId="9" fillId="0" borderId="8" xfId="0" applyFont="1" applyBorder="1" applyAlignment="1">
      <alignment horizontal="center" vertical="top" wrapText="1"/>
    </xf>
    <xf numFmtId="0" fontId="11" fillId="0" borderId="0" xfId="3" applyFont="1" applyAlignment="1" applyProtection="1"/>
    <xf numFmtId="0" fontId="9" fillId="0" borderId="9" xfId="0" applyFont="1" applyBorder="1" applyAlignment="1">
      <alignment horizontal="right" vertical="top" wrapText="1"/>
    </xf>
    <xf numFmtId="166" fontId="9" fillId="0" borderId="10" xfId="0" applyNumberFormat="1" applyFont="1" applyBorder="1" applyAlignment="1">
      <alignment horizontal="center" vertical="top" wrapText="1"/>
    </xf>
    <xf numFmtId="0" fontId="9" fillId="0" borderId="0" xfId="0" applyFont="1" applyAlignment="1">
      <alignment vertical="top"/>
    </xf>
    <xf numFmtId="0" fontId="9" fillId="0" borderId="0" xfId="0" applyFont="1" applyAlignment="1">
      <alignment horizontal="left" wrapText="1"/>
    </xf>
    <xf numFmtId="0" fontId="9" fillId="0" borderId="0" xfId="0" quotePrefix="1" applyFont="1" applyAlignment="1">
      <alignment horizontal="right"/>
    </xf>
    <xf numFmtId="0" fontId="9" fillId="0" borderId="0" xfId="0" quotePrefix="1" applyFont="1" applyAlignment="1">
      <alignment horizontal="right" vertical="top"/>
    </xf>
    <xf numFmtId="0" fontId="9" fillId="0" borderId="0" xfId="0" applyFont="1" applyAlignment="1">
      <alignment horizontal="right"/>
    </xf>
    <xf numFmtId="0" fontId="9" fillId="0" borderId="0" xfId="0" applyFont="1" applyAlignment="1">
      <alignment horizontal="left"/>
    </xf>
    <xf numFmtId="0" fontId="9" fillId="0" borderId="1" xfId="0" applyFont="1" applyBorder="1"/>
    <xf numFmtId="0" fontId="9" fillId="0" borderId="11" xfId="0" applyFont="1" applyBorder="1" applyAlignment="1" applyProtection="1">
      <alignment horizontal="center" vertical="top" wrapText="1"/>
      <protection locked="0"/>
    </xf>
    <xf numFmtId="166" fontId="9" fillId="0" borderId="12" xfId="0" applyNumberFormat="1" applyFont="1" applyBorder="1" applyAlignment="1" applyProtection="1">
      <alignment horizontal="center" vertical="top" wrapText="1"/>
      <protection locked="0"/>
    </xf>
    <xf numFmtId="165" fontId="0" fillId="0" borderId="0" xfId="1" quotePrefix="1" applyNumberFormat="1" applyFont="1" applyProtection="1"/>
    <xf numFmtId="14" fontId="9" fillId="0" borderId="11" xfId="0" applyNumberFormat="1" applyFont="1" applyBorder="1" applyAlignment="1" applyProtection="1">
      <alignment horizontal="center" vertical="top" wrapText="1"/>
      <protection locked="0"/>
    </xf>
    <xf numFmtId="3" fontId="1" fillId="0" borderId="1" xfId="0" applyNumberFormat="1" applyFont="1" applyBorder="1" applyAlignment="1">
      <alignment horizontal="center"/>
    </xf>
    <xf numFmtId="0" fontId="0" fillId="0" borderId="0" xfId="0" applyAlignment="1">
      <alignment horizontal="left"/>
    </xf>
    <xf numFmtId="0" fontId="14" fillId="0" borderId="0" xfId="0" applyFont="1" applyAlignment="1">
      <alignment horizontal="left"/>
    </xf>
    <xf numFmtId="0" fontId="18" fillId="0" borderId="0" xfId="0" applyFont="1" applyAlignment="1">
      <alignment horizontal="justify"/>
    </xf>
    <xf numFmtId="0" fontId="18" fillId="0" borderId="0" xfId="0" applyFont="1" applyAlignment="1">
      <alignment horizontal="center"/>
    </xf>
    <xf numFmtId="0" fontId="14" fillId="0" borderId="0" xfId="0" applyFont="1" applyAlignment="1">
      <alignment horizontal="justify"/>
    </xf>
    <xf numFmtId="0" fontId="18" fillId="0" borderId="0" xfId="0" applyFont="1" applyAlignment="1">
      <alignment horizontal="left"/>
    </xf>
    <xf numFmtId="0" fontId="14" fillId="0" borderId="13" xfId="0" applyFont="1" applyBorder="1"/>
    <xf numFmtId="0" fontId="0" fillId="0" borderId="14" xfId="0" applyBorder="1"/>
    <xf numFmtId="0" fontId="14" fillId="0" borderId="14" xfId="0" applyFont="1" applyBorder="1" applyAlignment="1">
      <alignment horizontal="center"/>
    </xf>
    <xf numFmtId="0" fontId="0" fillId="0" borderId="15" xfId="0" applyBorder="1"/>
    <xf numFmtId="0" fontId="14" fillId="0" borderId="16" xfId="0" applyFont="1" applyBorder="1" applyAlignment="1">
      <alignment horizontal="center"/>
    </xf>
    <xf numFmtId="0" fontId="0" fillId="0" borderId="17" xfId="0" applyBorder="1"/>
    <xf numFmtId="0" fontId="15" fillId="0" borderId="16" xfId="0" applyFont="1" applyBorder="1" applyAlignment="1">
      <alignment horizontal="right"/>
    </xf>
    <xf numFmtId="0" fontId="16" fillId="0" borderId="0" xfId="0" applyFont="1" applyAlignment="1">
      <alignment horizontal="left"/>
    </xf>
    <xf numFmtId="0" fontId="15" fillId="0" borderId="16" xfId="0" applyFont="1" applyBorder="1" applyAlignment="1">
      <alignment horizontal="left"/>
    </xf>
    <xf numFmtId="0" fontId="0" fillId="0" borderId="18" xfId="0" applyBorder="1"/>
    <xf numFmtId="0" fontId="14" fillId="0" borderId="13" xfId="0" applyFont="1" applyBorder="1" applyAlignment="1">
      <alignment horizontal="justify"/>
    </xf>
    <xf numFmtId="0" fontId="14" fillId="0" borderId="14" xfId="0" applyFont="1" applyBorder="1"/>
    <xf numFmtId="0" fontId="14" fillId="0" borderId="16" xfId="0" applyFont="1" applyBorder="1" applyAlignment="1">
      <alignment horizontal="justify"/>
    </xf>
    <xf numFmtId="0" fontId="14" fillId="0" borderId="0" xfId="0" applyFont="1"/>
    <xf numFmtId="0" fontId="0" fillId="0" borderId="16" xfId="0" applyBorder="1"/>
    <xf numFmtId="0" fontId="17" fillId="0" borderId="16" xfId="0" applyFont="1" applyBorder="1" applyAlignment="1">
      <alignment horizontal="justify"/>
    </xf>
    <xf numFmtId="0" fontId="14" fillId="0" borderId="19" xfId="0" applyFont="1" applyBorder="1" applyAlignment="1">
      <alignment horizontal="justify"/>
    </xf>
    <xf numFmtId="0" fontId="14" fillId="0" borderId="1" xfId="0" applyFont="1" applyBorder="1" applyAlignment="1">
      <alignment horizontal="left"/>
    </xf>
    <xf numFmtId="49" fontId="0" fillId="0" borderId="0" xfId="0" applyNumberFormat="1"/>
    <xf numFmtId="0" fontId="0" fillId="0" borderId="0" xfId="0" applyAlignment="1">
      <alignment wrapText="1"/>
    </xf>
    <xf numFmtId="0" fontId="0" fillId="0" borderId="19" xfId="0" applyBorder="1"/>
    <xf numFmtId="165" fontId="0" fillId="0" borderId="0" xfId="1" applyNumberFormat="1" applyFont="1" applyAlignment="1" applyProtection="1">
      <alignment horizontal="center" wrapText="1"/>
    </xf>
    <xf numFmtId="43" fontId="12" fillId="0" borderId="15" xfId="1" applyFont="1" applyFill="1" applyBorder="1" applyAlignment="1" applyProtection="1">
      <alignment horizontal="center"/>
      <protection locked="0"/>
    </xf>
    <xf numFmtId="43" fontId="12" fillId="0" borderId="17" xfId="1" applyFont="1" applyFill="1" applyBorder="1" applyAlignment="1" applyProtection="1">
      <alignment horizontal="center"/>
      <protection locked="0"/>
    </xf>
    <xf numFmtId="43" fontId="12" fillId="0" borderId="18" xfId="1" applyFont="1" applyFill="1" applyBorder="1" applyAlignment="1" applyProtection="1">
      <alignment horizontal="center"/>
      <protection locked="0"/>
    </xf>
    <xf numFmtId="1" fontId="20" fillId="0" borderId="0" xfId="0" applyNumberFormat="1" applyFont="1" applyAlignment="1">
      <alignment wrapText="1"/>
    </xf>
    <xf numFmtId="1" fontId="3" fillId="0" borderId="20" xfId="0" applyNumberFormat="1" applyFont="1" applyBorder="1" applyAlignment="1">
      <alignment horizontal="left" wrapText="1"/>
    </xf>
    <xf numFmtId="4" fontId="27" fillId="0" borderId="21" xfId="0" applyNumberFormat="1" applyFont="1" applyBorder="1" applyAlignment="1">
      <alignment horizontal="center" wrapText="1"/>
    </xf>
    <xf numFmtId="1" fontId="20" fillId="0" borderId="0" xfId="0" applyNumberFormat="1" applyFont="1"/>
    <xf numFmtId="1" fontId="3" fillId="0" borderId="22" xfId="0" applyNumberFormat="1" applyFont="1" applyBorder="1" applyAlignment="1">
      <alignment wrapText="1"/>
    </xf>
    <xf numFmtId="43" fontId="20" fillId="0" borderId="18" xfId="1" applyFont="1" applyFill="1" applyBorder="1" applyAlignment="1" applyProtection="1">
      <alignment horizontal="center"/>
    </xf>
    <xf numFmtId="4" fontId="20" fillId="0" borderId="23" xfId="1" applyNumberFormat="1" applyFont="1" applyFill="1" applyBorder="1" applyAlignment="1" applyProtection="1">
      <alignment horizontal="center"/>
    </xf>
    <xf numFmtId="4" fontId="20" fillId="0" borderId="20" xfId="0" applyNumberFormat="1" applyFont="1" applyBorder="1" applyAlignment="1">
      <alignment wrapText="1"/>
    </xf>
    <xf numFmtId="1" fontId="22" fillId="0" borderId="0" xfId="0" applyNumberFormat="1" applyFont="1" applyAlignment="1">
      <alignment horizontal="left" wrapText="1"/>
    </xf>
    <xf numFmtId="43" fontId="23" fillId="0" borderId="0" xfId="1" applyFont="1" applyFill="1" applyBorder="1" applyAlignment="1" applyProtection="1">
      <alignment horizontal="left" wrapText="1"/>
    </xf>
    <xf numFmtId="10" fontId="20" fillId="0" borderId="19" xfId="4" applyNumberFormat="1" applyFont="1" applyFill="1" applyBorder="1" applyProtection="1"/>
    <xf numFmtId="10" fontId="20" fillId="0" borderId="13" xfId="4" applyNumberFormat="1" applyFont="1" applyFill="1" applyBorder="1" applyProtection="1"/>
    <xf numFmtId="10" fontId="20" fillId="0" borderId="16" xfId="4" applyNumberFormat="1" applyFont="1" applyFill="1" applyBorder="1" applyProtection="1"/>
    <xf numFmtId="10" fontId="20" fillId="0" borderId="0" xfId="4" applyNumberFormat="1" applyFont="1" applyFill="1" applyBorder="1" applyProtection="1"/>
    <xf numFmtId="1" fontId="21" fillId="0" borderId="0" xfId="0" applyNumberFormat="1" applyFont="1" applyAlignment="1">
      <alignment wrapText="1"/>
    </xf>
    <xf numFmtId="1" fontId="21" fillId="0" borderId="0" xfId="0" applyNumberFormat="1" applyFont="1" applyAlignment="1">
      <alignment horizontal="left" wrapText="1"/>
    </xf>
    <xf numFmtId="1" fontId="26" fillId="0" borderId="0" xfId="0" applyNumberFormat="1" applyFont="1" applyAlignment="1">
      <alignment wrapText="1"/>
    </xf>
    <xf numFmtId="1" fontId="22" fillId="0" borderId="0" xfId="0" applyNumberFormat="1" applyFont="1" applyAlignment="1">
      <alignment wrapText="1"/>
    </xf>
    <xf numFmtId="1" fontId="21" fillId="0" borderId="0" xfId="4" applyNumberFormat="1" applyFont="1" applyFill="1" applyAlignment="1" applyProtection="1">
      <alignment horizontal="center" wrapText="1"/>
    </xf>
    <xf numFmtId="1" fontId="22" fillId="0" borderId="0" xfId="1" applyNumberFormat="1" applyFont="1" applyFill="1" applyProtection="1"/>
    <xf numFmtId="1" fontId="3" fillId="0" borderId="20" xfId="0" applyNumberFormat="1" applyFont="1" applyBorder="1" applyAlignment="1">
      <alignment wrapText="1"/>
    </xf>
    <xf numFmtId="1" fontId="1" fillId="0" borderId="15" xfId="0" applyNumberFormat="1" applyFont="1" applyBorder="1" applyAlignment="1">
      <alignment wrapText="1"/>
    </xf>
    <xf numFmtId="1" fontId="1" fillId="0" borderId="17" xfId="0" applyNumberFormat="1" applyFont="1" applyBorder="1" applyAlignment="1">
      <alignment wrapText="1"/>
    </xf>
    <xf numFmtId="1" fontId="1" fillId="0" borderId="18" xfId="0" applyNumberFormat="1" applyFont="1" applyBorder="1" applyAlignment="1">
      <alignment wrapText="1"/>
    </xf>
    <xf numFmtId="1" fontId="1" fillId="0" borderId="22" xfId="0" applyNumberFormat="1" applyFont="1" applyBorder="1" applyAlignment="1">
      <alignment wrapText="1"/>
    </xf>
    <xf numFmtId="165" fontId="27" fillId="0" borderId="20" xfId="1" applyNumberFormat="1" applyFont="1" applyFill="1" applyBorder="1" applyAlignment="1" applyProtection="1">
      <alignment wrapText="1"/>
      <protection locked="0"/>
    </xf>
    <xf numFmtId="4" fontId="27" fillId="0" borderId="0" xfId="0" applyNumberFormat="1" applyFont="1" applyAlignment="1">
      <alignment horizontal="center" wrapText="1"/>
    </xf>
    <xf numFmtId="1" fontId="3" fillId="0" borderId="1" xfId="0" applyNumberFormat="1" applyFont="1" applyBorder="1" applyAlignment="1">
      <alignment horizontal="center" wrapText="1"/>
    </xf>
    <xf numFmtId="10" fontId="0" fillId="0" borderId="20" xfId="4" applyNumberFormat="1" applyFont="1" applyBorder="1"/>
    <xf numFmtId="10" fontId="35" fillId="0" borderId="20" xfId="4" applyNumberFormat="1" applyFont="1" applyBorder="1"/>
    <xf numFmtId="10" fontId="2" fillId="0" borderId="20" xfId="4" quotePrefix="1" applyNumberFormat="1" applyFont="1" applyBorder="1"/>
    <xf numFmtId="165" fontId="27" fillId="0" borderId="20" xfId="1" applyNumberFormat="1" applyFont="1" applyFill="1" applyBorder="1" applyAlignment="1" applyProtection="1">
      <alignment horizontal="right" wrapText="1"/>
    </xf>
    <xf numFmtId="43" fontId="0" fillId="0" borderId="20" xfId="1" applyFont="1" applyBorder="1"/>
    <xf numFmtId="43" fontId="35" fillId="0" borderId="20" xfId="1" applyFont="1" applyBorder="1"/>
    <xf numFmtId="1" fontId="2" fillId="0" borderId="17" xfId="0" applyNumberFormat="1" applyFont="1" applyBorder="1" applyAlignment="1">
      <alignment wrapText="1"/>
    </xf>
    <xf numFmtId="4" fontId="20" fillId="0" borderId="17" xfId="1" applyNumberFormat="1" applyFont="1" applyFill="1" applyBorder="1" applyAlignment="1" applyProtection="1">
      <alignment horizontal="center"/>
      <protection locked="0"/>
    </xf>
    <xf numFmtId="3" fontId="22" fillId="0" borderId="21" xfId="0" applyNumberFormat="1" applyFont="1" applyBorder="1" applyAlignment="1">
      <alignment horizontal="center" wrapText="1"/>
    </xf>
    <xf numFmtId="10" fontId="20" fillId="0" borderId="16" xfId="4" applyNumberFormat="1" applyFont="1" applyFill="1" applyBorder="1" applyAlignment="1" applyProtection="1">
      <alignment wrapText="1"/>
    </xf>
    <xf numFmtId="9" fontId="20" fillId="0" borderId="21" xfId="4" applyFont="1" applyFill="1" applyBorder="1" applyProtection="1"/>
    <xf numFmtId="1" fontId="2" fillId="0" borderId="0" xfId="0" applyNumberFormat="1" applyFont="1" applyAlignment="1">
      <alignment wrapText="1"/>
    </xf>
    <xf numFmtId="1" fontId="3" fillId="0" borderId="20" xfId="0" applyNumberFormat="1" applyFont="1" applyBorder="1" applyAlignment="1">
      <alignment horizontal="center" wrapText="1"/>
    </xf>
    <xf numFmtId="1" fontId="20" fillId="0" borderId="0" xfId="1" applyNumberFormat="1" applyFont="1" applyFill="1" applyProtection="1"/>
    <xf numFmtId="1" fontId="20" fillId="0" borderId="0" xfId="0" applyNumberFormat="1" applyFont="1" applyAlignment="1">
      <alignment horizontal="left" wrapText="1"/>
    </xf>
    <xf numFmtId="43" fontId="20" fillId="0" borderId="0" xfId="1" applyFont="1" applyFill="1" applyBorder="1" applyAlignment="1" applyProtection="1">
      <alignment horizontal="left" wrapText="1"/>
    </xf>
    <xf numFmtId="43" fontId="20" fillId="0" borderId="25" xfId="1" applyFont="1" applyFill="1" applyBorder="1" applyProtection="1"/>
    <xf numFmtId="1" fontId="20" fillId="0" borderId="22" xfId="0" applyNumberFormat="1" applyFont="1" applyBorder="1" applyAlignment="1">
      <alignment wrapText="1"/>
    </xf>
    <xf numFmtId="43" fontId="20" fillId="0" borderId="20" xfId="1" applyFont="1" applyFill="1" applyBorder="1" applyAlignment="1" applyProtection="1">
      <alignment wrapText="1"/>
    </xf>
    <xf numFmtId="43" fontId="20" fillId="0" borderId="18" xfId="1" applyFont="1" applyFill="1" applyBorder="1" applyProtection="1"/>
    <xf numFmtId="44" fontId="0" fillId="0" borderId="0" xfId="2" applyFont="1" applyBorder="1" applyProtection="1"/>
    <xf numFmtId="164" fontId="0" fillId="0" borderId="0" xfId="0" applyNumberFormat="1" applyAlignment="1">
      <alignment horizontal="center"/>
    </xf>
    <xf numFmtId="0" fontId="3" fillId="0" borderId="0" xfId="0" applyFont="1" applyAlignment="1">
      <alignment horizontal="center" wrapText="1"/>
    </xf>
    <xf numFmtId="3" fontId="20" fillId="0" borderId="1" xfId="0" applyNumberFormat="1" applyFont="1" applyBorder="1" applyAlignment="1">
      <alignment horizontal="center"/>
    </xf>
    <xf numFmtId="1" fontId="0" fillId="0" borderId="0" xfId="1" applyNumberFormat="1" applyFont="1" applyAlignment="1" applyProtection="1">
      <alignment horizontal="center" wrapText="1"/>
    </xf>
    <xf numFmtId="165" fontId="0" fillId="0" borderId="0" xfId="1" applyNumberFormat="1" applyFont="1" applyAlignment="1" applyProtection="1">
      <alignment horizontal="right" wrapText="1"/>
    </xf>
    <xf numFmtId="2" fontId="20" fillId="0" borderId="1" xfId="0" applyNumberFormat="1" applyFont="1" applyBorder="1"/>
    <xf numFmtId="43" fontId="20" fillId="0" borderId="0" xfId="1" applyFont="1" applyFill="1" applyProtection="1"/>
    <xf numFmtId="43" fontId="0" fillId="0" borderId="0" xfId="1" applyFont="1" applyAlignment="1" applyProtection="1">
      <alignment horizontal="center"/>
    </xf>
    <xf numFmtId="0" fontId="0" fillId="0" borderId="26" xfId="0" applyBorder="1"/>
    <xf numFmtId="0" fontId="0" fillId="0" borderId="27" xfId="0" applyBorder="1"/>
    <xf numFmtId="0" fontId="0" fillId="0" borderId="28" xfId="0" applyBorder="1"/>
    <xf numFmtId="0" fontId="0" fillId="0" borderId="29" xfId="0" applyBorder="1"/>
    <xf numFmtId="0" fontId="0" fillId="0" borderId="30" xfId="0" applyBorder="1"/>
    <xf numFmtId="0" fontId="3" fillId="0" borderId="0" xfId="0" applyFont="1"/>
    <xf numFmtId="0" fontId="0" fillId="0" borderId="31" xfId="0" applyBorder="1"/>
    <xf numFmtId="0" fontId="0" fillId="0" borderId="32" xfId="0" applyBorder="1"/>
    <xf numFmtId="0" fontId="0" fillId="0" borderId="1" xfId="0" quotePrefix="1" applyBorder="1"/>
    <xf numFmtId="0" fontId="0" fillId="0" borderId="1" xfId="0" quotePrefix="1" applyBorder="1" applyAlignment="1">
      <alignment horizontal="left"/>
    </xf>
    <xf numFmtId="9" fontId="0" fillId="0" borderId="0" xfId="4" quotePrefix="1" applyFont="1" applyBorder="1" applyAlignment="1" applyProtection="1">
      <alignment horizontal="left"/>
      <protection locked="0"/>
    </xf>
    <xf numFmtId="44" fontId="0" fillId="0" borderId="14" xfId="2" applyFont="1" applyBorder="1" applyProtection="1"/>
    <xf numFmtId="0" fontId="0" fillId="0" borderId="14" xfId="0" quotePrefix="1" applyBorder="1"/>
    <xf numFmtId="0" fontId="0" fillId="0" borderId="14" xfId="0" quotePrefix="1" applyBorder="1" applyAlignment="1">
      <alignment horizontal="left"/>
    </xf>
    <xf numFmtId="0" fontId="0" fillId="0" borderId="13" xfId="0" applyBorder="1"/>
    <xf numFmtId="44" fontId="0" fillId="0" borderId="1" xfId="2" quotePrefix="1" applyFont="1" applyBorder="1" applyProtection="1"/>
    <xf numFmtId="0" fontId="2" fillId="0" borderId="0" xfId="0" applyFont="1" applyAlignment="1">
      <alignment horizontal="left"/>
    </xf>
    <xf numFmtId="4" fontId="27" fillId="0" borderId="0" xfId="0" applyNumberFormat="1" applyFont="1" applyAlignment="1" applyProtection="1">
      <alignment horizontal="center" wrapText="1"/>
      <protection locked="0"/>
    </xf>
    <xf numFmtId="1" fontId="0" fillId="3" borderId="21" xfId="0" applyNumberFormat="1" applyFill="1" applyBorder="1"/>
    <xf numFmtId="1" fontId="0" fillId="3" borderId="21" xfId="0" applyNumberFormat="1" applyFill="1" applyBorder="1" applyAlignment="1">
      <alignment horizontal="right"/>
    </xf>
    <xf numFmtId="1" fontId="1" fillId="3" borderId="21" xfId="0" applyNumberFormat="1" applyFont="1" applyFill="1" applyBorder="1" applyAlignment="1">
      <alignment horizontal="center"/>
    </xf>
    <xf numFmtId="1" fontId="22" fillId="3" borderId="21" xfId="0" applyNumberFormat="1" applyFont="1" applyFill="1" applyBorder="1" applyAlignment="1">
      <alignment horizontal="right"/>
    </xf>
    <xf numFmtId="1" fontId="22" fillId="3" borderId="21" xfId="0" applyNumberFormat="1" applyFont="1" applyFill="1" applyBorder="1" applyAlignment="1">
      <alignment horizontal="left"/>
    </xf>
    <xf numFmtId="1" fontId="20" fillId="3" borderId="21" xfId="0" applyNumberFormat="1" applyFont="1" applyFill="1" applyBorder="1" applyAlignment="1">
      <alignment horizontal="left"/>
    </xf>
    <xf numFmtId="1" fontId="20" fillId="3" borderId="21" xfId="0" applyNumberFormat="1" applyFont="1" applyFill="1" applyBorder="1" applyAlignment="1">
      <alignment horizontal="right"/>
    </xf>
    <xf numFmtId="1" fontId="1" fillId="3" borderId="21" xfId="0" applyNumberFormat="1" applyFont="1" applyFill="1" applyBorder="1" applyAlignment="1">
      <alignment horizontal="right"/>
    </xf>
    <xf numFmtId="1" fontId="1" fillId="3" borderId="21" xfId="0" applyNumberFormat="1" applyFont="1" applyFill="1" applyBorder="1" applyAlignment="1">
      <alignment horizontal="left"/>
    </xf>
    <xf numFmtId="1" fontId="26" fillId="3" borderId="21" xfId="0" applyNumberFormat="1" applyFont="1" applyFill="1" applyBorder="1" applyAlignment="1">
      <alignment horizontal="right"/>
    </xf>
    <xf numFmtId="1" fontId="35" fillId="0" borderId="20" xfId="0" applyNumberFormat="1" applyFont="1" applyBorder="1" applyAlignment="1">
      <alignment horizontal="right" wrapText="1"/>
    </xf>
    <xf numFmtId="1" fontId="3" fillId="0" borderId="0" xfId="0" applyNumberFormat="1" applyFont="1" applyAlignment="1">
      <alignment wrapText="1"/>
    </xf>
    <xf numFmtId="10" fontId="20" fillId="0" borderId="20" xfId="4" applyNumberFormat="1" applyFont="1" applyFill="1" applyBorder="1" applyAlignment="1" applyProtection="1">
      <alignment wrapText="1"/>
    </xf>
    <xf numFmtId="165" fontId="2" fillId="0" borderId="0" xfId="1" applyNumberFormat="1" applyFont="1" applyFill="1" applyBorder="1" applyAlignment="1" applyProtection="1">
      <alignment wrapText="1"/>
    </xf>
    <xf numFmtId="165" fontId="20" fillId="0" borderId="0" xfId="1" applyNumberFormat="1" applyFont="1" applyFill="1" applyBorder="1" applyAlignment="1" applyProtection="1">
      <alignment wrapText="1"/>
    </xf>
    <xf numFmtId="1" fontId="3" fillId="0" borderId="16" xfId="0" applyNumberFormat="1" applyFont="1" applyBorder="1" applyAlignment="1">
      <alignment wrapText="1"/>
    </xf>
    <xf numFmtId="10" fontId="20" fillId="0" borderId="23" xfId="4" applyNumberFormat="1" applyFont="1" applyFill="1" applyBorder="1" applyProtection="1"/>
    <xf numFmtId="10" fontId="20" fillId="0" borderId="25" xfId="4" applyNumberFormat="1" applyFont="1" applyFill="1" applyBorder="1" applyProtection="1"/>
    <xf numFmtId="10" fontId="20" fillId="0" borderId="21" xfId="4" applyNumberFormat="1" applyFont="1" applyFill="1" applyBorder="1" applyProtection="1"/>
    <xf numFmtId="1" fontId="22" fillId="0" borderId="0" xfId="0" applyNumberFormat="1" applyFont="1"/>
    <xf numFmtId="2" fontId="12" fillId="0" borderId="13" xfId="1" applyNumberFormat="1" applyFont="1" applyFill="1" applyBorder="1" applyProtection="1"/>
    <xf numFmtId="2" fontId="12" fillId="0" borderId="0" xfId="1" applyNumberFormat="1" applyFont="1" applyFill="1" applyBorder="1" applyProtection="1"/>
    <xf numFmtId="2" fontId="12" fillId="0" borderId="1" xfId="1" applyNumberFormat="1" applyFont="1" applyFill="1" applyBorder="1" applyProtection="1"/>
    <xf numFmtId="2" fontId="20" fillId="0" borderId="1" xfId="1" applyNumberFormat="1" applyFont="1" applyFill="1" applyBorder="1" applyProtection="1"/>
    <xf numFmtId="2" fontId="20" fillId="0" borderId="18" xfId="1" applyNumberFormat="1" applyFont="1" applyFill="1" applyBorder="1" applyProtection="1"/>
    <xf numFmtId="2" fontId="2" fillId="0" borderId="0" xfId="1" applyNumberFormat="1" applyFont="1" applyFill="1" applyBorder="1" applyAlignment="1" applyProtection="1">
      <alignment wrapText="1"/>
    </xf>
    <xf numFmtId="2" fontId="20" fillId="0" borderId="0" xfId="1" applyNumberFormat="1" applyFont="1" applyFill="1" applyBorder="1" applyAlignment="1" applyProtection="1">
      <alignment wrapText="1"/>
    </xf>
    <xf numFmtId="2" fontId="22" fillId="0" borderId="0" xfId="0" applyNumberFormat="1" applyFont="1" applyAlignment="1">
      <alignment wrapText="1"/>
    </xf>
    <xf numFmtId="165" fontId="31" fillId="0" borderId="20" xfId="1" applyNumberFormat="1" applyFont="1" applyFill="1" applyBorder="1" applyAlignment="1" applyProtection="1">
      <alignment wrapText="1"/>
      <protection locked="0"/>
    </xf>
    <xf numFmtId="165" fontId="2" fillId="0" borderId="0" xfId="1" applyNumberFormat="1" applyFont="1" applyBorder="1" applyAlignment="1" applyProtection="1">
      <alignment horizontal="right" wrapText="1"/>
    </xf>
    <xf numFmtId="0" fontId="36" fillId="0" borderId="0" xfId="0" applyFont="1"/>
    <xf numFmtId="1" fontId="9" fillId="0" borderId="0" xfId="0" applyNumberFormat="1" applyFont="1"/>
    <xf numFmtId="43" fontId="12" fillId="0" borderId="0" xfId="1" applyFont="1" applyFill="1" applyBorder="1" applyProtection="1"/>
    <xf numFmtId="43" fontId="12" fillId="0" borderId="1" xfId="1" applyFont="1" applyFill="1" applyBorder="1" applyProtection="1"/>
    <xf numFmtId="43" fontId="20" fillId="0" borderId="1" xfId="1" applyFont="1" applyFill="1" applyBorder="1" applyProtection="1"/>
    <xf numFmtId="43" fontId="2" fillId="0" borderId="0" xfId="1" applyFont="1" applyFill="1" applyBorder="1" applyAlignment="1" applyProtection="1">
      <alignment wrapText="1"/>
    </xf>
    <xf numFmtId="43" fontId="20" fillId="0" borderId="0" xfId="1" applyFont="1" applyFill="1" applyBorder="1" applyAlignment="1" applyProtection="1">
      <alignment wrapText="1"/>
    </xf>
    <xf numFmtId="43" fontId="20" fillId="0" borderId="0" xfId="1" applyFont="1" applyFill="1" applyAlignment="1" applyProtection="1">
      <alignment wrapText="1"/>
    </xf>
    <xf numFmtId="10" fontId="20" fillId="0" borderId="17" xfId="4" applyNumberFormat="1" applyFont="1" applyFill="1" applyBorder="1" applyProtection="1"/>
    <xf numFmtId="1" fontId="2" fillId="4" borderId="21" xfId="0" applyNumberFormat="1" applyFont="1" applyFill="1" applyBorder="1" applyAlignment="1">
      <alignment horizontal="right"/>
    </xf>
    <xf numFmtId="1" fontId="2" fillId="4" borderId="21" xfId="0" applyNumberFormat="1" applyFont="1" applyFill="1" applyBorder="1"/>
    <xf numFmtId="1" fontId="0" fillId="4" borderId="21" xfId="0" applyNumberFormat="1" applyFill="1" applyBorder="1" applyAlignment="1">
      <alignment horizontal="right"/>
    </xf>
    <xf numFmtId="1" fontId="3" fillId="4" borderId="21" xfId="0" applyNumberFormat="1" applyFont="1" applyFill="1" applyBorder="1" applyAlignment="1">
      <alignment wrapText="1"/>
    </xf>
    <xf numFmtId="1" fontId="22" fillId="4" borderId="21" xfId="0" applyNumberFormat="1" applyFont="1" applyFill="1" applyBorder="1" applyAlignment="1">
      <alignment horizontal="right"/>
    </xf>
    <xf numFmtId="1" fontId="20" fillId="4" borderId="21" xfId="0" applyNumberFormat="1" applyFont="1" applyFill="1" applyBorder="1"/>
    <xf numFmtId="1" fontId="0" fillId="4" borderId="21" xfId="0" applyNumberFormat="1" applyFill="1" applyBorder="1"/>
    <xf numFmtId="1" fontId="5" fillId="4" borderId="21" xfId="0" applyNumberFormat="1" applyFont="1" applyFill="1" applyBorder="1" applyAlignment="1">
      <alignment horizontal="right"/>
    </xf>
    <xf numFmtId="1" fontId="1" fillId="4" borderId="21" xfId="0" applyNumberFormat="1" applyFont="1" applyFill="1" applyBorder="1" applyAlignment="1">
      <alignment horizontal="right"/>
    </xf>
    <xf numFmtId="1" fontId="22" fillId="4" borderId="21" xfId="0" applyNumberFormat="1" applyFont="1" applyFill="1" applyBorder="1" applyAlignment="1">
      <alignment horizontal="left"/>
    </xf>
    <xf numFmtId="1" fontId="20" fillId="4" borderId="21" xfId="0" applyNumberFormat="1" applyFont="1" applyFill="1" applyBorder="1" applyAlignment="1">
      <alignment horizontal="left"/>
    </xf>
    <xf numFmtId="1" fontId="20" fillId="4" borderId="21" xfId="0" applyNumberFormat="1" applyFont="1" applyFill="1" applyBorder="1" applyAlignment="1">
      <alignment horizontal="right"/>
    </xf>
    <xf numFmtId="1" fontId="1" fillId="4" borderId="21" xfId="0" applyNumberFormat="1" applyFont="1" applyFill="1" applyBorder="1" applyAlignment="1">
      <alignment horizontal="center"/>
    </xf>
    <xf numFmtId="1" fontId="22" fillId="4" borderId="21" xfId="0" applyNumberFormat="1" applyFont="1" applyFill="1" applyBorder="1" applyAlignment="1">
      <alignment horizontal="center"/>
    </xf>
    <xf numFmtId="0" fontId="37" fillId="0" borderId="0" xfId="0" applyFont="1"/>
    <xf numFmtId="43" fontId="12" fillId="0" borderId="14" xfId="1" applyFont="1" applyFill="1" applyBorder="1" applyProtection="1"/>
    <xf numFmtId="10" fontId="20" fillId="0" borderId="14" xfId="4" applyNumberFormat="1" applyFont="1" applyFill="1" applyBorder="1" applyProtection="1"/>
    <xf numFmtId="10" fontId="20" fillId="0" borderId="1" xfId="4" applyNumberFormat="1" applyFont="1" applyFill="1" applyBorder="1" applyProtection="1"/>
    <xf numFmtId="43" fontId="20" fillId="0" borderId="20" xfId="1" applyFont="1" applyFill="1" applyBorder="1" applyProtection="1"/>
    <xf numFmtId="0" fontId="10" fillId="0" borderId="0" xfId="0" applyFont="1"/>
    <xf numFmtId="1" fontId="20" fillId="0" borderId="16" xfId="4" applyNumberFormat="1" applyFont="1" applyFill="1" applyBorder="1" applyAlignment="1" applyProtection="1">
      <alignment wrapText="1"/>
    </xf>
    <xf numFmtId="1" fontId="20" fillId="0" borderId="16" xfId="0" applyNumberFormat="1" applyFont="1" applyBorder="1" applyAlignment="1">
      <alignment wrapText="1"/>
    </xf>
    <xf numFmtId="43" fontId="20" fillId="0" borderId="24" xfId="1" applyFont="1" applyFill="1" applyBorder="1" applyAlignment="1" applyProtection="1"/>
    <xf numFmtId="165" fontId="38" fillId="0" borderId="18" xfId="1" applyNumberFormat="1" applyFont="1" applyFill="1" applyBorder="1" applyAlignment="1" applyProtection="1">
      <alignment horizontal="center"/>
      <protection locked="0"/>
    </xf>
    <xf numFmtId="43" fontId="38" fillId="0" borderId="18" xfId="1" applyFont="1" applyFill="1" applyBorder="1" applyAlignment="1" applyProtection="1">
      <alignment horizontal="center"/>
      <protection locked="0"/>
    </xf>
    <xf numFmtId="43" fontId="20" fillId="0" borderId="20" xfId="1" applyFont="1" applyFill="1" applyBorder="1" applyAlignment="1" applyProtection="1">
      <alignment horizontal="center"/>
    </xf>
    <xf numFmtId="43" fontId="22" fillId="0" borderId="21" xfId="1" applyFont="1" applyFill="1" applyBorder="1" applyAlignment="1" applyProtection="1">
      <alignment horizontal="center" wrapText="1"/>
    </xf>
    <xf numFmtId="43" fontId="20" fillId="0" borderId="25" xfId="1" applyFont="1" applyFill="1" applyBorder="1" applyAlignment="1" applyProtection="1">
      <alignment wrapText="1"/>
    </xf>
    <xf numFmtId="10" fontId="12" fillId="0" borderId="14" xfId="4" applyNumberFormat="1" applyFont="1" applyFill="1" applyBorder="1" applyProtection="1"/>
    <xf numFmtId="10" fontId="12" fillId="0" borderId="0" xfId="4" applyNumberFormat="1" applyFont="1" applyFill="1" applyBorder="1" applyProtection="1"/>
    <xf numFmtId="10" fontId="12" fillId="0" borderId="1" xfId="4" applyNumberFormat="1" applyFont="1" applyFill="1" applyBorder="1" applyProtection="1"/>
    <xf numFmtId="10" fontId="2" fillId="0" borderId="0" xfId="4" applyNumberFormat="1" applyFont="1" applyFill="1" applyBorder="1" applyAlignment="1" applyProtection="1">
      <alignment wrapText="1"/>
    </xf>
    <xf numFmtId="10" fontId="20" fillId="0" borderId="0" xfId="4" applyNumberFormat="1" applyFont="1" applyFill="1" applyBorder="1" applyAlignment="1" applyProtection="1">
      <alignment wrapText="1"/>
    </xf>
    <xf numFmtId="10" fontId="22" fillId="0" borderId="0" xfId="4" applyNumberFormat="1" applyFont="1" applyFill="1" applyAlignment="1" applyProtection="1">
      <alignment wrapText="1"/>
    </xf>
    <xf numFmtId="10" fontId="3" fillId="0" borderId="0" xfId="0" applyNumberFormat="1" applyFont="1" applyAlignment="1">
      <alignment wrapText="1"/>
    </xf>
    <xf numFmtId="10" fontId="23" fillId="0" borderId="0" xfId="0" applyNumberFormat="1" applyFont="1" applyAlignment="1">
      <alignment horizontal="left" wrapText="1"/>
    </xf>
    <xf numFmtId="10" fontId="0" fillId="0" borderId="0" xfId="0" applyNumberFormat="1"/>
    <xf numFmtId="10" fontId="20" fillId="0" borderId="0" xfId="0" applyNumberFormat="1" applyFont="1" applyAlignment="1">
      <alignment wrapText="1"/>
    </xf>
    <xf numFmtId="10" fontId="21" fillId="0" borderId="0" xfId="0" applyNumberFormat="1" applyFont="1" applyAlignment="1">
      <alignment wrapText="1"/>
    </xf>
    <xf numFmtId="10" fontId="21" fillId="0" borderId="0" xfId="0" applyNumberFormat="1" applyFont="1" applyAlignment="1">
      <alignment horizontal="left" wrapText="1"/>
    </xf>
    <xf numFmtId="10" fontId="26" fillId="0" borderId="0" xfId="0" applyNumberFormat="1" applyFont="1" applyAlignment="1">
      <alignment wrapText="1"/>
    </xf>
    <xf numFmtId="10" fontId="22" fillId="0" borderId="0" xfId="0" applyNumberFormat="1" applyFont="1" applyAlignment="1">
      <alignment wrapText="1"/>
    </xf>
    <xf numFmtId="10" fontId="12" fillId="0" borderId="14" xfId="1" applyNumberFormat="1" applyFont="1" applyFill="1" applyBorder="1" applyProtection="1"/>
    <xf numFmtId="10" fontId="12" fillId="0" borderId="0" xfId="1" applyNumberFormat="1" applyFont="1" applyFill="1" applyBorder="1" applyProtection="1"/>
    <xf numFmtId="10" fontId="12" fillId="0" borderId="1" xfId="1" applyNumberFormat="1" applyFont="1" applyFill="1" applyBorder="1" applyProtection="1"/>
    <xf numFmtId="10" fontId="2" fillId="0" borderId="0" xfId="1" applyNumberFormat="1" applyFont="1" applyFill="1" applyBorder="1" applyAlignment="1" applyProtection="1">
      <alignment wrapText="1"/>
    </xf>
    <xf numFmtId="10" fontId="20" fillId="0" borderId="0" xfId="1" applyNumberFormat="1" applyFont="1" applyFill="1" applyBorder="1" applyAlignment="1" applyProtection="1">
      <alignment wrapText="1"/>
    </xf>
    <xf numFmtId="10" fontId="21" fillId="0" borderId="0" xfId="0" applyNumberFormat="1" applyFont="1" applyAlignment="1">
      <alignment horizontal="center" wrapText="1"/>
    </xf>
    <xf numFmtId="10" fontId="20" fillId="0" borderId="0" xfId="0" applyNumberFormat="1" applyFont="1"/>
    <xf numFmtId="1" fontId="39" fillId="0" borderId="20" xfId="0" applyNumberFormat="1" applyFont="1" applyBorder="1" applyAlignment="1">
      <alignment horizontal="right" wrapText="1"/>
    </xf>
    <xf numFmtId="0" fontId="2" fillId="0" borderId="0" xfId="0" applyFont="1" applyAlignment="1">
      <alignment horizontal="center" wrapText="1"/>
    </xf>
    <xf numFmtId="43" fontId="0" fillId="0" borderId="0" xfId="1" applyFont="1" applyBorder="1"/>
    <xf numFmtId="43" fontId="35" fillId="0" borderId="0" xfId="1" applyFont="1" applyBorder="1"/>
    <xf numFmtId="10" fontId="0" fillId="0" borderId="20" xfId="1" applyNumberFormat="1" applyFont="1" applyBorder="1"/>
    <xf numFmtId="43" fontId="38" fillId="0" borderId="20" xfId="1" applyFont="1" applyBorder="1"/>
    <xf numFmtId="43" fontId="38" fillId="0" borderId="0" xfId="1" applyFont="1" applyBorder="1"/>
    <xf numFmtId="0" fontId="38" fillId="0" borderId="0" xfId="0" applyFont="1"/>
    <xf numFmtId="10" fontId="35" fillId="0" borderId="20" xfId="1" applyNumberFormat="1" applyFont="1" applyBorder="1"/>
    <xf numFmtId="10" fontId="38" fillId="0" borderId="0" xfId="1" applyNumberFormat="1" applyFont="1" applyBorder="1"/>
    <xf numFmtId="10" fontId="0" fillId="0" borderId="0" xfId="1" applyNumberFormat="1" applyFont="1" applyBorder="1"/>
    <xf numFmtId="49" fontId="2" fillId="0" borderId="0" xfId="0" applyNumberFormat="1" applyFont="1"/>
    <xf numFmtId="43" fontId="3" fillId="0" borderId="20" xfId="1" applyFont="1" applyBorder="1"/>
    <xf numFmtId="0" fontId="2" fillId="0" borderId="23" xfId="0" applyFont="1" applyBorder="1" applyAlignment="1">
      <alignment horizontal="center" wrapText="1"/>
    </xf>
    <xf numFmtId="4" fontId="2" fillId="0" borderId="23" xfId="0" applyNumberFormat="1" applyFont="1" applyBorder="1" applyAlignment="1">
      <alignment horizontal="center" wrapText="1"/>
    </xf>
    <xf numFmtId="1" fontId="0" fillId="0" borderId="0" xfId="0" applyNumberFormat="1"/>
    <xf numFmtId="1" fontId="2" fillId="0" borderId="17" xfId="4" applyNumberFormat="1" applyFont="1" applyFill="1" applyBorder="1" applyAlignment="1" applyProtection="1"/>
    <xf numFmtId="1" fontId="3" fillId="0" borderId="33" xfId="0" applyNumberFormat="1" applyFont="1" applyBorder="1" applyAlignment="1">
      <alignment wrapText="1"/>
    </xf>
    <xf numFmtId="4" fontId="3" fillId="0" borderId="19" xfId="0" applyNumberFormat="1" applyFont="1" applyBorder="1" applyAlignment="1">
      <alignment horizontal="center" wrapText="1"/>
    </xf>
    <xf numFmtId="4" fontId="2" fillId="0" borderId="19" xfId="0" applyNumberFormat="1" applyFont="1" applyBorder="1" applyAlignment="1">
      <alignment horizontal="center" wrapText="1"/>
    </xf>
    <xf numFmtId="4" fontId="2" fillId="0" borderId="19" xfId="0" applyNumberFormat="1" applyFont="1" applyBorder="1" applyAlignment="1" applyProtection="1">
      <alignment horizontal="center" wrapText="1"/>
      <protection locked="0"/>
    </xf>
    <xf numFmtId="1" fontId="22" fillId="0" borderId="23" xfId="0" applyNumberFormat="1" applyFont="1" applyBorder="1" applyAlignment="1" applyProtection="1">
      <alignment horizontal="center" wrapText="1"/>
      <protection locked="0"/>
    </xf>
    <xf numFmtId="1" fontId="22" fillId="0" borderId="0" xfId="0" applyNumberFormat="1" applyFont="1" applyAlignment="1">
      <alignment horizontal="center"/>
    </xf>
    <xf numFmtId="4" fontId="3" fillId="0" borderId="0" xfId="0" applyNumberFormat="1" applyFont="1" applyAlignment="1">
      <alignment horizontal="center" wrapText="1"/>
    </xf>
    <xf numFmtId="4" fontId="2" fillId="0" borderId="0" xfId="0" applyNumberFormat="1" applyFont="1" applyAlignment="1">
      <alignment horizontal="center" wrapText="1"/>
    </xf>
    <xf numFmtId="4" fontId="2" fillId="0" borderId="0" xfId="0" applyNumberFormat="1" applyFont="1" applyAlignment="1" applyProtection="1">
      <alignment horizontal="center" wrapText="1"/>
      <protection locked="0"/>
    </xf>
    <xf numFmtId="1" fontId="22" fillId="0" borderId="0" xfId="0" applyNumberFormat="1" applyFont="1" applyAlignment="1">
      <alignment horizontal="center" wrapText="1"/>
    </xf>
    <xf numFmtId="4" fontId="2" fillId="0" borderId="17" xfId="0" applyNumberFormat="1" applyFont="1" applyBorder="1" applyAlignment="1">
      <alignment horizontal="center" wrapText="1"/>
    </xf>
    <xf numFmtId="1" fontId="21" fillId="0" borderId="33" xfId="4" applyNumberFormat="1" applyFont="1" applyFill="1" applyBorder="1" applyAlignment="1" applyProtection="1">
      <alignment wrapText="1"/>
    </xf>
    <xf numFmtId="1" fontId="21" fillId="0" borderId="22" xfId="4" applyNumberFormat="1" applyFont="1" applyFill="1" applyBorder="1" applyAlignment="1" applyProtection="1">
      <alignment wrapText="1"/>
    </xf>
    <xf numFmtId="1" fontId="20" fillId="0" borderId="0" xfId="0" applyNumberFormat="1" applyFont="1" applyAlignment="1">
      <alignment horizontal="right"/>
    </xf>
    <xf numFmtId="1" fontId="20" fillId="0" borderId="17" xfId="0" applyNumberFormat="1" applyFont="1" applyBorder="1" applyAlignment="1">
      <alignment wrapText="1"/>
    </xf>
    <xf numFmtId="4" fontId="27" fillId="0" borderId="0" xfId="0" applyNumberFormat="1" applyFont="1" applyAlignment="1">
      <alignment wrapText="1"/>
    </xf>
    <xf numFmtId="4" fontId="27" fillId="0" borderId="0" xfId="0" applyNumberFormat="1" applyFont="1" applyAlignment="1" applyProtection="1">
      <alignment wrapText="1"/>
      <protection locked="0"/>
    </xf>
    <xf numFmtId="4" fontId="27" fillId="0" borderId="20" xfId="0" applyNumberFormat="1" applyFont="1" applyBorder="1" applyAlignment="1">
      <alignment horizontal="right" wrapText="1"/>
    </xf>
    <xf numFmtId="9" fontId="27" fillId="0" borderId="20" xfId="4" applyFont="1" applyFill="1" applyBorder="1" applyAlignment="1" applyProtection="1">
      <alignment horizontal="right" wrapText="1"/>
    </xf>
    <xf numFmtId="4" fontId="26" fillId="0" borderId="0" xfId="0" applyNumberFormat="1" applyFont="1" applyAlignment="1">
      <alignment wrapText="1"/>
    </xf>
    <xf numFmtId="4" fontId="26" fillId="0" borderId="0" xfId="0" applyNumberFormat="1" applyFont="1" applyAlignment="1" applyProtection="1">
      <alignment wrapText="1"/>
      <protection locked="0"/>
    </xf>
    <xf numFmtId="4" fontId="22" fillId="0" borderId="0" xfId="0" applyNumberFormat="1" applyFont="1" applyAlignment="1">
      <alignment wrapText="1"/>
    </xf>
    <xf numFmtId="4" fontId="22" fillId="0" borderId="0" xfId="0" applyNumberFormat="1" applyFont="1" applyAlignment="1" applyProtection="1">
      <alignment wrapText="1"/>
      <protection locked="0"/>
    </xf>
    <xf numFmtId="1" fontId="0" fillId="0" borderId="0" xfId="0" applyNumberFormat="1" applyAlignment="1">
      <alignment horizontal="right"/>
    </xf>
    <xf numFmtId="1" fontId="0" fillId="0" borderId="0" xfId="0" applyNumberFormat="1" applyAlignment="1">
      <alignment horizontal="right" wrapText="1"/>
    </xf>
    <xf numFmtId="4" fontId="0" fillId="0" borderId="0" xfId="0" applyNumberFormat="1" applyAlignment="1">
      <alignment wrapText="1"/>
    </xf>
    <xf numFmtId="4" fontId="0" fillId="0" borderId="0" xfId="0" applyNumberFormat="1" applyAlignment="1" applyProtection="1">
      <alignment wrapText="1"/>
      <protection locked="0"/>
    </xf>
    <xf numFmtId="1" fontId="0" fillId="0" borderId="0" xfId="0" applyNumberFormat="1" applyAlignment="1">
      <alignment wrapText="1"/>
    </xf>
    <xf numFmtId="1" fontId="0" fillId="3" borderId="0" xfId="0" applyNumberFormat="1" applyFill="1"/>
    <xf numFmtId="1" fontId="22" fillId="3" borderId="0" xfId="0" applyNumberFormat="1" applyFont="1" applyFill="1" applyAlignment="1">
      <alignment horizontal="center"/>
    </xf>
    <xf numFmtId="1" fontId="22" fillId="3" borderId="0" xfId="0" applyNumberFormat="1" applyFont="1" applyFill="1"/>
    <xf numFmtId="1" fontId="20" fillId="3" borderId="0" xfId="0" applyNumberFormat="1" applyFont="1" applyFill="1"/>
    <xf numFmtId="1" fontId="19" fillId="0" borderId="33" xfId="0" applyNumberFormat="1" applyFont="1" applyBorder="1"/>
    <xf numFmtId="1" fontId="19" fillId="0" borderId="22" xfId="0" applyNumberFormat="1" applyFont="1" applyBorder="1"/>
    <xf numFmtId="1" fontId="22" fillId="0" borderId="14" xfId="0" applyNumberFormat="1" applyFont="1" applyBorder="1" applyAlignment="1">
      <alignment horizontal="right"/>
    </xf>
    <xf numFmtId="1" fontId="3" fillId="0" borderId="14" xfId="0" applyNumberFormat="1" applyFont="1" applyBorder="1" applyAlignment="1">
      <alignment horizontal="left" wrapText="1"/>
    </xf>
    <xf numFmtId="1" fontId="22" fillId="3" borderId="23" xfId="0" applyNumberFormat="1" applyFont="1" applyFill="1" applyBorder="1" applyAlignment="1">
      <alignment horizontal="right"/>
    </xf>
    <xf numFmtId="1" fontId="3" fillId="0" borderId="23" xfId="0" applyNumberFormat="1" applyFont="1" applyBorder="1" applyAlignment="1">
      <alignment horizontal="center" wrapText="1"/>
    </xf>
    <xf numFmtId="1" fontId="3" fillId="0" borderId="16" xfId="0" applyNumberFormat="1" applyFont="1" applyBorder="1" applyAlignment="1">
      <alignment horizontal="center" wrapText="1"/>
    </xf>
    <xf numFmtId="1" fontId="3" fillId="0" borderId="21" xfId="0" applyNumberFormat="1" applyFont="1" applyBorder="1" applyAlignment="1">
      <alignment wrapText="1"/>
    </xf>
    <xf numFmtId="1" fontId="2" fillId="0" borderId="21" xfId="0" applyNumberFormat="1" applyFont="1" applyBorder="1" applyAlignment="1" applyProtection="1">
      <alignment horizontal="right" wrapText="1"/>
      <protection locked="0"/>
    </xf>
    <xf numFmtId="1" fontId="22" fillId="0" borderId="21" xfId="0" applyNumberFormat="1" applyFont="1" applyBorder="1" applyAlignment="1">
      <alignment horizontal="right" wrapText="1"/>
    </xf>
    <xf numFmtId="1" fontId="22" fillId="0" borderId="20" xfId="0" applyNumberFormat="1" applyFont="1" applyBorder="1" applyAlignment="1">
      <alignment horizontal="right" wrapText="1"/>
    </xf>
    <xf numFmtId="1" fontId="1" fillId="0" borderId="16" xfId="0" applyNumberFormat="1" applyFont="1" applyBorder="1" applyAlignment="1">
      <alignment horizontal="right"/>
    </xf>
    <xf numFmtId="1" fontId="1" fillId="0" borderId="16" xfId="0" applyNumberFormat="1" applyFont="1" applyBorder="1" applyAlignment="1">
      <alignment horizontal="right" wrapText="1"/>
    </xf>
    <xf numFmtId="1" fontId="2" fillId="0" borderId="16" xfId="0" applyNumberFormat="1" applyFont="1" applyBorder="1" applyAlignment="1" applyProtection="1">
      <alignment horizontal="right" wrapText="1"/>
      <protection locked="0"/>
    </xf>
    <xf numFmtId="1" fontId="22" fillId="0" borderId="21" xfId="0" applyNumberFormat="1" applyFont="1" applyBorder="1" applyAlignment="1" applyProtection="1">
      <alignment horizontal="right" wrapText="1"/>
      <protection locked="0"/>
    </xf>
    <xf numFmtId="1" fontId="22" fillId="0" borderId="16" xfId="0" applyNumberFormat="1" applyFont="1" applyBorder="1" applyAlignment="1">
      <alignment horizontal="right" wrapText="1"/>
    </xf>
    <xf numFmtId="1" fontId="3" fillId="0" borderId="16" xfId="0" applyNumberFormat="1" applyFont="1" applyBorder="1" applyAlignment="1">
      <alignment horizontal="left"/>
    </xf>
    <xf numFmtId="1" fontId="20" fillId="0" borderId="16" xfId="0" applyNumberFormat="1" applyFont="1" applyBorder="1" applyAlignment="1" applyProtection="1">
      <alignment horizontal="right"/>
      <protection locked="0"/>
    </xf>
    <xf numFmtId="1" fontId="20" fillId="0" borderId="16" xfId="0" applyNumberFormat="1" applyFont="1" applyBorder="1" applyAlignment="1">
      <alignment horizontal="right"/>
    </xf>
    <xf numFmtId="1" fontId="20" fillId="0" borderId="23" xfId="0" applyNumberFormat="1" applyFont="1" applyBorder="1" applyAlignment="1">
      <alignment horizontal="right" wrapText="1"/>
    </xf>
    <xf numFmtId="1" fontId="20" fillId="0" borderId="16" xfId="0" applyNumberFormat="1" applyFont="1" applyBorder="1" applyAlignment="1" applyProtection="1">
      <alignment horizontal="right" wrapText="1"/>
      <protection locked="0"/>
    </xf>
    <xf numFmtId="0" fontId="0" fillId="0" borderId="16" xfId="0" applyBorder="1" applyAlignment="1" applyProtection="1">
      <alignment horizontal="right"/>
      <protection locked="0"/>
    </xf>
    <xf numFmtId="1" fontId="20" fillId="0" borderId="16" xfId="0" applyNumberFormat="1" applyFont="1" applyBorder="1" applyAlignment="1" applyProtection="1">
      <alignment wrapText="1"/>
      <protection locked="0"/>
    </xf>
    <xf numFmtId="1" fontId="3" fillId="0" borderId="23" xfId="0" applyNumberFormat="1" applyFont="1" applyBorder="1" applyAlignment="1">
      <alignment wrapText="1"/>
    </xf>
    <xf numFmtId="1" fontId="3" fillId="0" borderId="21" xfId="0" applyNumberFormat="1" applyFont="1" applyBorder="1" applyAlignment="1" applyProtection="1">
      <alignment horizontal="right" wrapText="1"/>
      <protection locked="0"/>
    </xf>
    <xf numFmtId="1" fontId="2" fillId="0" borderId="21" xfId="0" applyNumberFormat="1" applyFont="1" applyBorder="1" applyAlignment="1">
      <alignment horizontal="right" wrapText="1"/>
    </xf>
    <xf numFmtId="1" fontId="2" fillId="0" borderId="20" xfId="0" applyNumberFormat="1" applyFont="1" applyBorder="1" applyAlignment="1">
      <alignment horizontal="right" wrapText="1"/>
    </xf>
    <xf numFmtId="1" fontId="20" fillId="0" borderId="21" xfId="0" applyNumberFormat="1" applyFont="1" applyBorder="1" applyAlignment="1">
      <alignment horizontal="right" wrapText="1"/>
    </xf>
    <xf numFmtId="1" fontId="20" fillId="0" borderId="21" xfId="0" applyNumberFormat="1" applyFont="1" applyBorder="1" applyAlignment="1" applyProtection="1">
      <alignment horizontal="right" wrapText="1"/>
      <protection locked="0"/>
    </xf>
    <xf numFmtId="1" fontId="20" fillId="0" borderId="21" xfId="0" applyNumberFormat="1" applyFont="1" applyBorder="1" applyAlignment="1" applyProtection="1">
      <alignment wrapText="1"/>
      <protection locked="0"/>
    </xf>
    <xf numFmtId="1" fontId="22" fillId="0" borderId="21" xfId="0" applyNumberFormat="1" applyFont="1" applyBorder="1" applyAlignment="1">
      <alignment wrapText="1"/>
    </xf>
    <xf numFmtId="1" fontId="20" fillId="0" borderId="21" xfId="0" applyNumberFormat="1" applyFont="1" applyBorder="1" applyAlignment="1">
      <alignment wrapText="1"/>
    </xf>
    <xf numFmtId="1" fontId="3" fillId="0" borderId="25" xfId="0" applyNumberFormat="1" applyFont="1" applyBorder="1" applyAlignment="1">
      <alignment wrapText="1"/>
    </xf>
    <xf numFmtId="1" fontId="20" fillId="0" borderId="23" xfId="0" applyNumberFormat="1" applyFont="1" applyBorder="1" applyAlignment="1">
      <alignment wrapText="1"/>
    </xf>
    <xf numFmtId="49" fontId="8" fillId="0" borderId="20" xfId="0" applyNumberFormat="1" applyFont="1" applyBorder="1" applyAlignment="1" applyProtection="1">
      <alignment horizontal="center" wrapText="1"/>
      <protection locked="0"/>
    </xf>
    <xf numFmtId="1" fontId="2" fillId="0" borderId="13" xfId="0" applyNumberFormat="1" applyFont="1" applyBorder="1" applyAlignment="1">
      <alignment horizontal="right"/>
    </xf>
    <xf numFmtId="1" fontId="41" fillId="0" borderId="16" xfId="0" applyNumberFormat="1" applyFont="1" applyBorder="1" applyAlignment="1">
      <alignment horizontal="right"/>
    </xf>
    <xf numFmtId="1" fontId="0" fillId="0" borderId="21" xfId="0" applyNumberFormat="1" applyBorder="1" applyAlignment="1">
      <alignment wrapText="1"/>
    </xf>
    <xf numFmtId="1" fontId="0" fillId="0" borderId="25" xfId="0" applyNumberFormat="1" applyBorder="1" applyAlignment="1">
      <alignment wrapText="1"/>
    </xf>
    <xf numFmtId="1" fontId="6" fillId="0" borderId="21" xfId="0" applyNumberFormat="1" applyFont="1" applyBorder="1"/>
    <xf numFmtId="1" fontId="6" fillId="0" borderId="21" xfId="0" applyNumberFormat="1" applyFont="1" applyBorder="1" applyAlignment="1">
      <alignment horizontal="left"/>
    </xf>
    <xf numFmtId="1" fontId="3" fillId="0" borderId="21" xfId="0" applyNumberFormat="1" applyFont="1" applyBorder="1" applyAlignment="1">
      <alignment horizontal="center" wrapText="1"/>
    </xf>
    <xf numFmtId="2" fontId="3" fillId="0" borderId="24" xfId="0" applyNumberFormat="1" applyFont="1" applyBorder="1"/>
    <xf numFmtId="1" fontId="3" fillId="0" borderId="33" xfId="0" applyNumberFormat="1" applyFont="1" applyBorder="1"/>
    <xf numFmtId="10" fontId="3" fillId="0" borderId="33" xfId="4" applyNumberFormat="1" applyFont="1" applyFill="1" applyBorder="1" applyAlignment="1" applyProtection="1"/>
    <xf numFmtId="1" fontId="1" fillId="0" borderId="21" xfId="0" applyNumberFormat="1" applyFont="1" applyBorder="1" applyAlignment="1">
      <alignment horizontal="center" wrapText="1"/>
    </xf>
    <xf numFmtId="1" fontId="1" fillId="0" borderId="0" xfId="0" applyNumberFormat="1" applyFont="1" applyAlignment="1">
      <alignment horizontal="center"/>
    </xf>
    <xf numFmtId="1" fontId="22" fillId="0" borderId="21" xfId="0" applyNumberFormat="1" applyFont="1" applyBorder="1" applyAlignment="1">
      <alignment horizontal="center" wrapText="1"/>
    </xf>
    <xf numFmtId="2" fontId="22" fillId="0" borderId="24" xfId="0" applyNumberFormat="1" applyFont="1" applyBorder="1" applyAlignment="1">
      <alignment horizontal="center"/>
    </xf>
    <xf numFmtId="1" fontId="22" fillId="0" borderId="33" xfId="4" applyNumberFormat="1" applyFont="1" applyFill="1" applyBorder="1" applyAlignment="1" applyProtection="1">
      <alignment horizontal="center"/>
    </xf>
    <xf numFmtId="10" fontId="22" fillId="0" borderId="22" xfId="4" applyNumberFormat="1" applyFont="1" applyFill="1" applyBorder="1" applyAlignment="1" applyProtection="1">
      <alignment horizontal="center"/>
    </xf>
    <xf numFmtId="1" fontId="22" fillId="0" borderId="24" xfId="0" applyNumberFormat="1" applyFont="1" applyBorder="1" applyAlignment="1">
      <alignment horizontal="center" wrapText="1"/>
    </xf>
    <xf numFmtId="1" fontId="22" fillId="0" borderId="33" xfId="0" applyNumberFormat="1" applyFont="1" applyBorder="1" applyAlignment="1">
      <alignment horizontal="center" wrapText="1"/>
    </xf>
    <xf numFmtId="4" fontId="20" fillId="0" borderId="15" xfId="1" applyNumberFormat="1" applyFont="1" applyFill="1" applyBorder="1" applyAlignment="1" applyProtection="1">
      <alignment horizontal="center"/>
      <protection locked="0"/>
    </xf>
    <xf numFmtId="10" fontId="22" fillId="0" borderId="16" xfId="4" quotePrefix="1" applyNumberFormat="1" applyFont="1" applyFill="1" applyBorder="1" applyAlignment="1" applyProtection="1">
      <alignment wrapText="1"/>
    </xf>
    <xf numFmtId="1" fontId="20" fillId="0" borderId="21" xfId="4" applyNumberFormat="1" applyFont="1" applyFill="1" applyBorder="1" applyAlignment="1" applyProtection="1">
      <alignment wrapText="1"/>
    </xf>
    <xf numFmtId="2" fontId="12" fillId="0" borderId="14" xfId="1" applyNumberFormat="1" applyFont="1" applyFill="1" applyBorder="1" applyProtection="1"/>
    <xf numFmtId="10" fontId="22" fillId="0" borderId="21" xfId="4" quotePrefix="1" applyNumberFormat="1" applyFont="1" applyFill="1" applyBorder="1" applyAlignment="1" applyProtection="1">
      <alignment wrapText="1"/>
    </xf>
    <xf numFmtId="1" fontId="20" fillId="0" borderId="21" xfId="0" applyNumberFormat="1" applyFont="1" applyBorder="1"/>
    <xf numFmtId="4" fontId="20" fillId="0" borderId="23" xfId="1" applyNumberFormat="1" applyFont="1" applyFill="1" applyBorder="1" applyAlignment="1" applyProtection="1">
      <alignment horizontal="center"/>
      <protection locked="0"/>
    </xf>
    <xf numFmtId="3" fontId="22" fillId="0" borderId="23" xfId="0" applyNumberFormat="1" applyFont="1" applyBorder="1" applyAlignment="1">
      <alignment horizontal="center" wrapText="1"/>
    </xf>
    <xf numFmtId="10" fontId="20" fillId="0" borderId="23" xfId="4" applyNumberFormat="1" applyFont="1" applyFill="1" applyBorder="1" applyAlignment="1" applyProtection="1">
      <alignment wrapText="1"/>
    </xf>
    <xf numFmtId="4" fontId="20" fillId="0" borderId="20" xfId="1" applyNumberFormat="1" applyFont="1" applyFill="1" applyBorder="1" applyAlignment="1" applyProtection="1">
      <alignment horizontal="center"/>
    </xf>
    <xf numFmtId="10" fontId="20" fillId="0" borderId="19" xfId="4" applyNumberFormat="1" applyFont="1" applyFill="1" applyBorder="1" applyAlignment="1" applyProtection="1">
      <alignment wrapText="1"/>
    </xf>
    <xf numFmtId="10" fontId="0" fillId="0" borderId="23" xfId="4" quotePrefix="1" applyNumberFormat="1" applyFont="1" applyFill="1" applyBorder="1" applyProtection="1"/>
    <xf numFmtId="10" fontId="0" fillId="0" borderId="18" xfId="4" quotePrefix="1" applyNumberFormat="1" applyFont="1" applyFill="1" applyBorder="1" applyProtection="1"/>
    <xf numFmtId="2" fontId="20" fillId="0" borderId="24" xfId="0" applyNumberFormat="1" applyFont="1" applyBorder="1"/>
    <xf numFmtId="10" fontId="20" fillId="0" borderId="33" xfId="4" applyNumberFormat="1" applyFont="1" applyFill="1" applyBorder="1" applyProtection="1"/>
    <xf numFmtId="10" fontId="20" fillId="0" borderId="22" xfId="4" applyNumberFormat="1" applyFont="1" applyFill="1" applyBorder="1" applyProtection="1"/>
    <xf numFmtId="1" fontId="20" fillId="0" borderId="0" xfId="0" applyNumberFormat="1" applyFont="1" applyAlignment="1">
      <alignment horizontal="left" vertical="top" wrapText="1"/>
    </xf>
    <xf numFmtId="4" fontId="20" fillId="0" borderId="25" xfId="1" applyNumberFormat="1" applyFont="1" applyFill="1" applyBorder="1" applyAlignment="1" applyProtection="1">
      <alignment horizontal="center"/>
      <protection locked="0"/>
    </xf>
    <xf numFmtId="10" fontId="20" fillId="0" borderId="25" xfId="0" applyNumberFormat="1" applyFont="1" applyBorder="1"/>
    <xf numFmtId="4" fontId="20" fillId="0" borderId="21" xfId="1" applyNumberFormat="1" applyFont="1" applyFill="1" applyBorder="1" applyAlignment="1" applyProtection="1">
      <alignment horizontal="center"/>
      <protection locked="0"/>
    </xf>
    <xf numFmtId="10" fontId="22" fillId="0" borderId="23" xfId="4" quotePrefix="1" applyNumberFormat="1" applyFont="1" applyFill="1" applyBorder="1" applyAlignment="1" applyProtection="1">
      <alignment wrapText="1"/>
    </xf>
    <xf numFmtId="4" fontId="20" fillId="0" borderId="0" xfId="1" applyNumberFormat="1" applyFont="1" applyFill="1" applyBorder="1" applyAlignment="1" applyProtection="1">
      <alignment horizontal="center"/>
      <protection locked="0"/>
    </xf>
    <xf numFmtId="10" fontId="20" fillId="0" borderId="21" xfId="0" applyNumberFormat="1" applyFont="1" applyBorder="1"/>
    <xf numFmtId="4" fontId="20" fillId="0" borderId="18" xfId="1" applyNumberFormat="1" applyFont="1" applyFill="1" applyBorder="1" applyAlignment="1" applyProtection="1">
      <alignment horizontal="center"/>
      <protection locked="0"/>
    </xf>
    <xf numFmtId="10" fontId="20" fillId="0" borderId="1" xfId="4" applyNumberFormat="1" applyFont="1" applyFill="1" applyBorder="1" applyAlignment="1" applyProtection="1">
      <alignment wrapText="1"/>
    </xf>
    <xf numFmtId="1" fontId="20" fillId="0" borderId="33" xfId="0" applyNumberFormat="1" applyFont="1" applyBorder="1" applyAlignment="1">
      <alignment horizontal="left" vertical="top" wrapText="1"/>
    </xf>
    <xf numFmtId="10" fontId="22" fillId="0" borderId="16" xfId="0" applyNumberFormat="1" applyFont="1" applyBorder="1" applyAlignment="1">
      <alignment wrapText="1"/>
    </xf>
    <xf numFmtId="10" fontId="20" fillId="0" borderId="16" xfId="0" applyNumberFormat="1" applyFont="1" applyBorder="1" applyAlignment="1">
      <alignment wrapText="1"/>
    </xf>
    <xf numFmtId="2" fontId="20" fillId="0" borderId="33" xfId="1" applyNumberFormat="1" applyFont="1" applyFill="1" applyBorder="1" applyProtection="1"/>
    <xf numFmtId="1" fontId="20" fillId="0" borderId="33" xfId="4" applyNumberFormat="1" applyFont="1" applyFill="1" applyBorder="1" applyProtection="1"/>
    <xf numFmtId="10" fontId="20" fillId="0" borderId="20" xfId="4" applyNumberFormat="1" applyFont="1" applyFill="1" applyBorder="1" applyProtection="1"/>
    <xf numFmtId="2" fontId="20" fillId="0" borderId="0" xfId="1" applyNumberFormat="1" applyFont="1" applyFill="1" applyProtection="1"/>
    <xf numFmtId="165" fontId="20" fillId="0" borderId="0" xfId="1" applyNumberFormat="1" applyFont="1" applyFill="1" applyProtection="1"/>
    <xf numFmtId="10" fontId="20" fillId="0" borderId="0" xfId="4" applyNumberFormat="1" applyFont="1" applyFill="1" applyProtection="1"/>
    <xf numFmtId="10" fontId="2" fillId="0" borderId="16" xfId="4" applyNumberFormat="1" applyFont="1" applyFill="1" applyBorder="1" applyAlignment="1" applyProtection="1"/>
    <xf numFmtId="10" fontId="2" fillId="0" borderId="0" xfId="4" applyNumberFormat="1" applyFont="1" applyFill="1" applyBorder="1" applyAlignment="1" applyProtection="1"/>
    <xf numFmtId="43" fontId="1" fillId="0" borderId="20" xfId="1" applyFont="1" applyFill="1" applyBorder="1" applyProtection="1"/>
    <xf numFmtId="4" fontId="27" fillId="0" borderId="20" xfId="0" applyNumberFormat="1" applyFont="1" applyBorder="1" applyProtection="1">
      <protection locked="0"/>
    </xf>
    <xf numFmtId="1" fontId="20" fillId="0" borderId="16" xfId="0" applyNumberFormat="1" applyFont="1" applyBorder="1"/>
    <xf numFmtId="1" fontId="2" fillId="0" borderId="0" xfId="0" applyNumberFormat="1" applyFont="1"/>
    <xf numFmtId="2" fontId="20" fillId="0" borderId="0" xfId="1" applyNumberFormat="1" applyFont="1" applyFill="1" applyBorder="1" applyProtection="1"/>
    <xf numFmtId="165" fontId="20" fillId="0" borderId="0" xfId="1" applyNumberFormat="1" applyFont="1" applyFill="1" applyBorder="1" applyProtection="1"/>
    <xf numFmtId="43" fontId="20" fillId="0" borderId="0" xfId="1" applyFont="1" applyFill="1" applyBorder="1" applyProtection="1"/>
    <xf numFmtId="4" fontId="20" fillId="0" borderId="0" xfId="0" applyNumberFormat="1" applyFont="1"/>
    <xf numFmtId="10" fontId="20" fillId="0" borderId="0" xfId="4" applyNumberFormat="1" applyFont="1" applyFill="1" applyBorder="1" applyAlignment="1" applyProtection="1"/>
    <xf numFmtId="1" fontId="23" fillId="0" borderId="0" xfId="0" applyNumberFormat="1" applyFont="1" applyAlignment="1">
      <alignment horizontal="right"/>
    </xf>
    <xf numFmtId="4" fontId="21" fillId="0" borderId="0" xfId="0" applyNumberFormat="1" applyFont="1" applyAlignment="1">
      <alignment horizontal="right" wrapText="1"/>
    </xf>
    <xf numFmtId="1" fontId="21" fillId="0" borderId="0" xfId="0" applyNumberFormat="1" applyFont="1" applyAlignment="1">
      <alignment horizontal="right" wrapText="1"/>
    </xf>
    <xf numFmtId="10" fontId="21" fillId="0" borderId="0" xfId="4" applyNumberFormat="1" applyFont="1" applyFill="1" applyAlignment="1" applyProtection="1">
      <alignment horizontal="right" wrapText="1"/>
    </xf>
    <xf numFmtId="2" fontId="22" fillId="0" borderId="0" xfId="0" applyNumberFormat="1" applyFont="1"/>
    <xf numFmtId="10" fontId="22" fillId="0" borderId="0" xfId="4" applyNumberFormat="1" applyFont="1" applyFill="1" applyProtection="1"/>
    <xf numFmtId="1" fontId="25" fillId="0" borderId="0" xfId="0" applyNumberFormat="1" applyFont="1"/>
    <xf numFmtId="43" fontId="25" fillId="0" borderId="20" xfId="1" applyFont="1" applyFill="1" applyBorder="1" applyAlignment="1" applyProtection="1">
      <alignment horizontal="center" wrapText="1"/>
    </xf>
    <xf numFmtId="2" fontId="25" fillId="0" borderId="20" xfId="0" applyNumberFormat="1" applyFont="1" applyBorder="1" applyAlignment="1">
      <alignment wrapText="1"/>
    </xf>
    <xf numFmtId="1" fontId="2" fillId="0" borderId="20" xfId="0" applyNumberFormat="1" applyFont="1" applyBorder="1" applyAlignment="1">
      <alignment horizontal="center"/>
    </xf>
    <xf numFmtId="10" fontId="25" fillId="0" borderId="0" xfId="4" applyNumberFormat="1" applyFont="1" applyFill="1" applyBorder="1" applyAlignment="1" applyProtection="1"/>
    <xf numFmtId="165" fontId="12" fillId="0" borderId="20" xfId="1" applyNumberFormat="1" applyFont="1" applyFill="1" applyBorder="1" applyAlignment="1" applyProtection="1">
      <alignment horizontal="right"/>
      <protection locked="0"/>
    </xf>
    <xf numFmtId="2" fontId="20" fillId="0" borderId="24" xfId="1" applyNumberFormat="1" applyFont="1" applyFill="1" applyBorder="1" applyAlignment="1" applyProtection="1"/>
    <xf numFmtId="165" fontId="20" fillId="0" borderId="20" xfId="1" applyNumberFormat="1" applyFont="1" applyFill="1" applyBorder="1" applyProtection="1"/>
    <xf numFmtId="165" fontId="12" fillId="0" borderId="20" xfId="1" applyNumberFormat="1" applyFont="1" applyFill="1" applyBorder="1" applyProtection="1">
      <protection locked="0"/>
    </xf>
    <xf numFmtId="165" fontId="12" fillId="0" borderId="20" xfId="1" quotePrefix="1" applyNumberFormat="1" applyFont="1" applyFill="1" applyBorder="1" applyProtection="1">
      <protection locked="0"/>
    </xf>
    <xf numFmtId="165" fontId="20" fillId="0" borderId="20" xfId="1" applyNumberFormat="1" applyFont="1" applyFill="1" applyBorder="1" applyAlignment="1" applyProtection="1">
      <alignment horizontal="center"/>
    </xf>
    <xf numFmtId="165" fontId="21" fillId="0" borderId="23" xfId="1" applyNumberFormat="1" applyFont="1" applyFill="1" applyBorder="1" applyAlignment="1" applyProtection="1">
      <alignment horizontal="right"/>
    </xf>
    <xf numFmtId="2" fontId="22" fillId="0" borderId="15" xfId="1" applyNumberFormat="1" applyFont="1" applyFill="1" applyBorder="1" applyAlignment="1" applyProtection="1"/>
    <xf numFmtId="165" fontId="22" fillId="0" borderId="20" xfId="1" applyNumberFormat="1" applyFont="1" applyFill="1" applyBorder="1" applyProtection="1"/>
    <xf numFmtId="165" fontId="21" fillId="0" borderId="20" xfId="1" applyNumberFormat="1" applyFont="1" applyFill="1" applyBorder="1" applyAlignment="1" applyProtection="1">
      <alignment horizontal="right"/>
    </xf>
    <xf numFmtId="1" fontId="21" fillId="0" borderId="0" xfId="0" applyNumberFormat="1" applyFont="1" applyAlignment="1">
      <alignment horizontal="right"/>
    </xf>
    <xf numFmtId="2" fontId="21" fillId="0" borderId="0" xfId="0" applyNumberFormat="1" applyFont="1" applyAlignment="1">
      <alignment horizontal="right"/>
    </xf>
    <xf numFmtId="10" fontId="21" fillId="0" borderId="0" xfId="4" applyNumberFormat="1" applyFont="1" applyFill="1" applyBorder="1" applyAlignment="1" applyProtection="1">
      <alignment horizontal="right"/>
    </xf>
    <xf numFmtId="165" fontId="29" fillId="0" borderId="20" xfId="1" applyNumberFormat="1" applyFont="1" applyFill="1" applyBorder="1" applyAlignment="1" applyProtection="1">
      <alignment horizontal="right"/>
    </xf>
    <xf numFmtId="43" fontId="21" fillId="0" borderId="0" xfId="1" applyFont="1" applyFill="1" applyBorder="1" applyAlignment="1" applyProtection="1">
      <alignment horizontal="right"/>
    </xf>
    <xf numFmtId="10" fontId="0" fillId="0" borderId="0" xfId="4" applyNumberFormat="1" applyFont="1" applyFill="1" applyProtection="1"/>
    <xf numFmtId="1" fontId="0" fillId="0" borderId="0" xfId="4" applyNumberFormat="1" applyFont="1" applyFill="1" applyProtection="1"/>
    <xf numFmtId="10" fontId="0" fillId="0" borderId="0" xfId="0" applyNumberFormat="1" applyAlignment="1">
      <alignment wrapText="1"/>
    </xf>
    <xf numFmtId="2" fontId="0" fillId="0" borderId="0" xfId="0" applyNumberFormat="1"/>
    <xf numFmtId="43" fontId="0" fillId="0" borderId="0" xfId="1" applyFont="1" applyFill="1" applyProtection="1"/>
    <xf numFmtId="4" fontId="0" fillId="0" borderId="0" xfId="0" applyNumberFormat="1"/>
    <xf numFmtId="1" fontId="0" fillId="5" borderId="21" xfId="0" applyNumberFormat="1" applyFill="1" applyBorder="1"/>
    <xf numFmtId="1" fontId="2" fillId="5" borderId="21" xfId="0" applyNumberFormat="1" applyFont="1" applyFill="1" applyBorder="1"/>
    <xf numFmtId="1" fontId="0" fillId="5" borderId="21" xfId="0" applyNumberFormat="1" applyFill="1" applyBorder="1" applyAlignment="1">
      <alignment horizontal="right"/>
    </xf>
    <xf numFmtId="1" fontId="5" fillId="5" borderId="21" xfId="0" applyNumberFormat="1" applyFont="1" applyFill="1" applyBorder="1" applyAlignment="1">
      <alignment horizontal="right"/>
    </xf>
    <xf numFmtId="1" fontId="1" fillId="5" borderId="21" xfId="0" applyNumberFormat="1" applyFont="1" applyFill="1" applyBorder="1" applyAlignment="1">
      <alignment horizontal="right"/>
    </xf>
    <xf numFmtId="1" fontId="22" fillId="5" borderId="21" xfId="0" applyNumberFormat="1" applyFont="1" applyFill="1" applyBorder="1" applyAlignment="1">
      <alignment horizontal="right"/>
    </xf>
    <xf numFmtId="1" fontId="22" fillId="5" borderId="21" xfId="0" applyNumberFormat="1" applyFont="1" applyFill="1" applyBorder="1" applyAlignment="1">
      <alignment horizontal="left"/>
    </xf>
    <xf numFmtId="1" fontId="20" fillId="5" borderId="21" xfId="0" applyNumberFormat="1" applyFont="1" applyFill="1" applyBorder="1" applyAlignment="1">
      <alignment horizontal="left"/>
    </xf>
    <xf numFmtId="1" fontId="20" fillId="5" borderId="21" xfId="0" applyNumberFormat="1" applyFont="1" applyFill="1" applyBorder="1" applyAlignment="1">
      <alignment horizontal="right"/>
    </xf>
    <xf numFmtId="1" fontId="20" fillId="5" borderId="21" xfId="0" applyNumberFormat="1" applyFont="1" applyFill="1" applyBorder="1"/>
    <xf numFmtId="1" fontId="19" fillId="5" borderId="25" xfId="0" applyNumberFormat="1" applyFont="1" applyFill="1" applyBorder="1"/>
    <xf numFmtId="1" fontId="22" fillId="5" borderId="21" xfId="0" applyNumberFormat="1" applyFont="1" applyFill="1" applyBorder="1"/>
    <xf numFmtId="1" fontId="25" fillId="5" borderId="21" xfId="0" applyNumberFormat="1" applyFont="1" applyFill="1" applyBorder="1" applyAlignment="1">
      <alignment wrapText="1"/>
    </xf>
    <xf numFmtId="1" fontId="20" fillId="5" borderId="21" xfId="0" applyNumberFormat="1" applyFont="1" applyFill="1" applyBorder="1" applyAlignment="1">
      <alignment wrapText="1"/>
    </xf>
    <xf numFmtId="1" fontId="21" fillId="5" borderId="21" xfId="0" applyNumberFormat="1" applyFont="1" applyFill="1" applyBorder="1" applyAlignment="1">
      <alignment wrapText="1"/>
    </xf>
    <xf numFmtId="1" fontId="22" fillId="5" borderId="21" xfId="0" applyNumberFormat="1" applyFont="1" applyFill="1" applyBorder="1" applyAlignment="1">
      <alignment wrapText="1"/>
    </xf>
    <xf numFmtId="1" fontId="22" fillId="5" borderId="23" xfId="0" applyNumberFormat="1" applyFont="1" applyFill="1" applyBorder="1" applyAlignment="1">
      <alignment wrapText="1"/>
    </xf>
    <xf numFmtId="1" fontId="0" fillId="5" borderId="25" xfId="0" applyNumberFormat="1" applyFill="1" applyBorder="1"/>
    <xf numFmtId="1" fontId="20" fillId="5" borderId="23" xfId="0" applyNumberFormat="1" applyFont="1" applyFill="1" applyBorder="1" applyAlignment="1">
      <alignment horizontal="right"/>
    </xf>
    <xf numFmtId="1" fontId="23" fillId="5" borderId="21" xfId="0" applyNumberFormat="1" applyFont="1" applyFill="1" applyBorder="1" applyAlignment="1">
      <alignment horizontal="right"/>
    </xf>
    <xf numFmtId="1" fontId="25" fillId="5" borderId="21" xfId="0" applyNumberFormat="1" applyFont="1" applyFill="1" applyBorder="1"/>
    <xf numFmtId="1" fontId="20" fillId="5" borderId="21" xfId="0" applyNumberFormat="1" applyFont="1" applyFill="1" applyBorder="1" applyAlignment="1">
      <alignment horizontal="left" wrapText="1"/>
    </xf>
    <xf numFmtId="1" fontId="26" fillId="5" borderId="21" xfId="0" applyNumberFormat="1" applyFont="1" applyFill="1" applyBorder="1" applyAlignment="1">
      <alignment horizontal="right"/>
    </xf>
    <xf numFmtId="1" fontId="22" fillId="5" borderId="23" xfId="0" applyNumberFormat="1" applyFont="1" applyFill="1" applyBorder="1" applyAlignment="1">
      <alignment horizontal="right"/>
    </xf>
    <xf numFmtId="1" fontId="0" fillId="0" borderId="13" xfId="0" applyNumberFormat="1" applyBorder="1" applyAlignment="1">
      <alignment horizontal="right"/>
    </xf>
    <xf numFmtId="1" fontId="0" fillId="0" borderId="16" xfId="0" applyNumberFormat="1" applyBorder="1" applyAlignment="1">
      <alignment horizontal="right"/>
    </xf>
    <xf numFmtId="1" fontId="2" fillId="0" borderId="19" xfId="0" applyNumberFormat="1" applyFont="1" applyBorder="1" applyAlignment="1">
      <alignment horizontal="right"/>
    </xf>
    <xf numFmtId="1" fontId="2" fillId="0" borderId="0" xfId="0" applyNumberFormat="1" applyFont="1" applyAlignment="1">
      <alignment horizontal="right"/>
    </xf>
    <xf numFmtId="1" fontId="2" fillId="0" borderId="25" xfId="0" applyNumberFormat="1" applyFont="1" applyBorder="1" applyAlignment="1">
      <alignment wrapText="1"/>
    </xf>
    <xf numFmtId="43" fontId="3" fillId="0" borderId="24" xfId="1" applyFont="1" applyFill="1" applyBorder="1" applyAlignment="1" applyProtection="1"/>
    <xf numFmtId="10" fontId="3" fillId="0" borderId="33" xfId="0" applyNumberFormat="1" applyFont="1" applyBorder="1"/>
    <xf numFmtId="43" fontId="22" fillId="0" borderId="24" xfId="1" applyFont="1" applyFill="1" applyBorder="1" applyAlignment="1" applyProtection="1">
      <alignment horizontal="center"/>
    </xf>
    <xf numFmtId="10" fontId="22" fillId="0" borderId="22" xfId="0" applyNumberFormat="1" applyFont="1" applyBorder="1" applyAlignment="1">
      <alignment horizontal="center"/>
    </xf>
    <xf numFmtId="43" fontId="20" fillId="0" borderId="24" xfId="1" applyFont="1" applyFill="1" applyBorder="1" applyProtection="1"/>
    <xf numFmtId="10" fontId="20" fillId="0" borderId="22" xfId="0" applyNumberFormat="1" applyFont="1" applyBorder="1"/>
    <xf numFmtId="43" fontId="20" fillId="0" borderId="33" xfId="1" applyFont="1" applyFill="1" applyBorder="1" applyProtection="1"/>
    <xf numFmtId="10" fontId="20" fillId="0" borderId="0" xfId="1" applyNumberFormat="1" applyFont="1" applyFill="1" applyProtection="1"/>
    <xf numFmtId="43" fontId="1" fillId="0" borderId="14" xfId="1" applyFont="1" applyFill="1" applyBorder="1" applyProtection="1"/>
    <xf numFmtId="4" fontId="27" fillId="0" borderId="14" xfId="0" applyNumberFormat="1" applyFont="1" applyBorder="1" applyProtection="1">
      <protection locked="0"/>
    </xf>
    <xf numFmtId="10" fontId="20" fillId="0" borderId="0" xfId="1" applyNumberFormat="1" applyFont="1" applyFill="1" applyBorder="1" applyProtection="1"/>
    <xf numFmtId="169" fontId="0" fillId="0" borderId="0" xfId="0" applyNumberFormat="1" applyAlignment="1">
      <alignment wrapText="1"/>
    </xf>
    <xf numFmtId="169" fontId="20" fillId="0" borderId="20" xfId="4" applyNumberFormat="1" applyFont="1" applyFill="1" applyBorder="1" applyAlignment="1" applyProtection="1">
      <alignment horizontal="center" wrapText="1"/>
    </xf>
    <xf numFmtId="10" fontId="24" fillId="0" borderId="20" xfId="0" applyNumberFormat="1" applyFont="1" applyBorder="1" applyAlignment="1">
      <alignment horizontal="center" wrapText="1"/>
    </xf>
    <xf numFmtId="169" fontId="12" fillId="0" borderId="20" xfId="1" applyNumberFormat="1" applyFont="1" applyFill="1" applyBorder="1" applyAlignment="1" applyProtection="1">
      <alignment horizontal="right"/>
      <protection locked="0"/>
    </xf>
    <xf numFmtId="170" fontId="20" fillId="0" borderId="20" xfId="0" applyNumberFormat="1" applyFont="1" applyBorder="1"/>
    <xf numFmtId="169" fontId="12" fillId="0" borderId="20" xfId="1" applyNumberFormat="1" applyFont="1" applyFill="1" applyBorder="1" applyProtection="1">
      <protection locked="0"/>
    </xf>
    <xf numFmtId="169" fontId="12" fillId="0" borderId="20" xfId="1" quotePrefix="1" applyNumberFormat="1" applyFont="1" applyFill="1" applyBorder="1" applyProtection="1">
      <protection locked="0"/>
    </xf>
    <xf numFmtId="169" fontId="20" fillId="0" borderId="20" xfId="1" applyNumberFormat="1" applyFont="1" applyFill="1" applyBorder="1" applyAlignment="1" applyProtection="1">
      <alignment horizontal="center"/>
    </xf>
    <xf numFmtId="169" fontId="21" fillId="0" borderId="23" xfId="1" applyNumberFormat="1" applyFont="1" applyFill="1" applyBorder="1" applyAlignment="1" applyProtection="1">
      <alignment horizontal="right"/>
    </xf>
    <xf numFmtId="169" fontId="21" fillId="0" borderId="20" xfId="1" applyNumberFormat="1" applyFont="1" applyFill="1" applyBorder="1" applyAlignment="1" applyProtection="1">
      <alignment horizontal="right"/>
    </xf>
    <xf numFmtId="169" fontId="29" fillId="0" borderId="20" xfId="1" applyNumberFormat="1" applyFont="1" applyFill="1" applyBorder="1" applyAlignment="1" applyProtection="1">
      <alignment horizontal="right"/>
    </xf>
    <xf numFmtId="169" fontId="21" fillId="0" borderId="0" xfId="1" applyNumberFormat="1" applyFont="1" applyFill="1" applyBorder="1" applyAlignment="1" applyProtection="1">
      <alignment horizontal="right"/>
    </xf>
    <xf numFmtId="169" fontId="20" fillId="0" borderId="20" xfId="1" applyNumberFormat="1" applyFont="1" applyFill="1" applyBorder="1" applyAlignment="1" applyProtection="1">
      <alignment wrapText="1"/>
      <protection locked="0"/>
    </xf>
    <xf numFmtId="169" fontId="20" fillId="0" borderId="20" xfId="1" applyNumberFormat="1" applyFont="1" applyFill="1" applyBorder="1" applyAlignment="1" applyProtection="1">
      <alignment wrapText="1"/>
    </xf>
    <xf numFmtId="1" fontId="19" fillId="4" borderId="25" xfId="0" applyNumberFormat="1" applyFont="1" applyFill="1" applyBorder="1"/>
    <xf numFmtId="1" fontId="0" fillId="4" borderId="23" xfId="0" applyNumberFormat="1" applyFill="1" applyBorder="1"/>
    <xf numFmtId="1" fontId="2" fillId="0" borderId="22" xfId="0" applyNumberFormat="1" applyFont="1" applyBorder="1" applyAlignment="1">
      <alignment wrapText="1"/>
    </xf>
    <xf numFmtId="1" fontId="1" fillId="0" borderId="14" xfId="0" applyNumberFormat="1" applyFont="1" applyBorder="1" applyAlignment="1">
      <alignment wrapText="1"/>
    </xf>
    <xf numFmtId="1" fontId="0" fillId="4" borderId="23" xfId="0" applyNumberFormat="1" applyFill="1" applyBorder="1" applyAlignment="1">
      <alignment horizontal="right"/>
    </xf>
    <xf numFmtId="1" fontId="0" fillId="0" borderId="24" xfId="0" applyNumberFormat="1" applyBorder="1" applyAlignment="1">
      <alignment wrapText="1"/>
    </xf>
    <xf numFmtId="1" fontId="20" fillId="0" borderId="21" xfId="0" applyNumberFormat="1" applyFont="1" applyBorder="1" applyAlignment="1">
      <alignment horizontal="center" wrapText="1"/>
    </xf>
    <xf numFmtId="1" fontId="20" fillId="0" borderId="0" xfId="0" applyNumberFormat="1" applyFont="1" applyAlignment="1">
      <alignment horizontal="center"/>
    </xf>
    <xf numFmtId="43" fontId="20" fillId="0" borderId="1" xfId="1" applyFont="1" applyFill="1" applyBorder="1" applyAlignment="1" applyProtection="1">
      <alignment horizontal="center"/>
    </xf>
    <xf numFmtId="1" fontId="20" fillId="0" borderId="1" xfId="4" applyNumberFormat="1" applyFont="1" applyFill="1" applyBorder="1" applyAlignment="1" applyProtection="1">
      <alignment horizontal="center"/>
    </xf>
    <xf numFmtId="9" fontId="20" fillId="0" borderId="25" xfId="4" applyFont="1" applyFill="1" applyBorder="1" applyProtection="1"/>
    <xf numFmtId="10" fontId="20" fillId="0" borderId="16" xfId="4" quotePrefix="1" applyNumberFormat="1" applyFont="1" applyFill="1" applyBorder="1" applyAlignment="1" applyProtection="1">
      <alignment wrapText="1"/>
    </xf>
    <xf numFmtId="9" fontId="20" fillId="0" borderId="23" xfId="4" applyFont="1" applyFill="1" applyBorder="1" applyProtection="1"/>
    <xf numFmtId="9" fontId="0" fillId="0" borderId="23" xfId="4" quotePrefix="1" applyFont="1" applyFill="1" applyBorder="1" applyProtection="1"/>
    <xf numFmtId="10" fontId="22" fillId="0" borderId="20" xfId="4" quotePrefix="1" applyNumberFormat="1" applyFont="1" applyFill="1" applyBorder="1" applyAlignment="1" applyProtection="1">
      <alignment wrapText="1"/>
    </xf>
    <xf numFmtId="9" fontId="0" fillId="0" borderId="18" xfId="4" quotePrefix="1" applyFont="1" applyFill="1" applyBorder="1" applyProtection="1"/>
    <xf numFmtId="1" fontId="20" fillId="0" borderId="25" xfId="0" applyNumberFormat="1" applyFont="1" applyBorder="1"/>
    <xf numFmtId="1" fontId="22" fillId="0" borderId="16" xfId="0" applyNumberFormat="1" applyFont="1" applyBorder="1" applyAlignment="1">
      <alignment wrapText="1"/>
    </xf>
    <xf numFmtId="43" fontId="20" fillId="0" borderId="33" xfId="1" applyFont="1" applyFill="1" applyBorder="1" applyAlignment="1" applyProtection="1">
      <alignment horizontal="center"/>
    </xf>
    <xf numFmtId="1" fontId="20" fillId="0" borderId="22" xfId="4" applyNumberFormat="1" applyFont="1" applyFill="1" applyBorder="1" applyProtection="1"/>
    <xf numFmtId="43" fontId="20" fillId="0" borderId="0" xfId="1" applyFont="1" applyFill="1" applyBorder="1" applyAlignment="1" applyProtection="1">
      <alignment horizontal="center" wrapText="1"/>
    </xf>
    <xf numFmtId="1" fontId="20" fillId="0" borderId="0" xfId="4" applyNumberFormat="1" applyFont="1" applyFill="1" applyBorder="1" applyProtection="1"/>
    <xf numFmtId="43" fontId="20" fillId="0" borderId="24" xfId="1" applyFont="1" applyFill="1" applyBorder="1" applyAlignment="1" applyProtection="1">
      <alignment wrapText="1"/>
    </xf>
    <xf numFmtId="43" fontId="20" fillId="0" borderId="13" xfId="1" applyFont="1" applyFill="1" applyBorder="1" applyProtection="1"/>
    <xf numFmtId="4" fontId="27" fillId="0" borderId="14" xfId="0" applyNumberFormat="1" applyFont="1" applyBorder="1"/>
    <xf numFmtId="1" fontId="20" fillId="0" borderId="23" xfId="0" applyNumberFormat="1" applyFont="1" applyBorder="1"/>
    <xf numFmtId="43" fontId="20" fillId="0" borderId="21" xfId="1" applyFont="1" applyFill="1" applyBorder="1" applyAlignment="1" applyProtection="1">
      <alignment wrapText="1"/>
    </xf>
    <xf numFmtId="1" fontId="20" fillId="0" borderId="0" xfId="4" applyNumberFormat="1" applyFont="1" applyFill="1" applyProtection="1"/>
    <xf numFmtId="1" fontId="24" fillId="0" borderId="0" xfId="0" applyNumberFormat="1" applyFont="1" applyAlignment="1">
      <alignment wrapText="1"/>
    </xf>
    <xf numFmtId="43" fontId="24" fillId="0" borderId="0" xfId="1" applyFont="1" applyFill="1" applyBorder="1" applyAlignment="1" applyProtection="1">
      <alignment wrapText="1"/>
    </xf>
    <xf numFmtId="43" fontId="20" fillId="0" borderId="0" xfId="1" applyFont="1" applyFill="1" applyBorder="1" applyAlignment="1" applyProtection="1"/>
    <xf numFmtId="1" fontId="12" fillId="0" borderId="0" xfId="0" applyNumberFormat="1" applyFont="1" applyAlignment="1">
      <alignment wrapText="1"/>
    </xf>
    <xf numFmtId="1" fontId="3" fillId="0" borderId="24" xfId="0" applyNumberFormat="1" applyFont="1" applyBorder="1" applyAlignment="1">
      <alignment wrapText="1"/>
    </xf>
    <xf numFmtId="43" fontId="3" fillId="0" borderId="0" xfId="1" applyFont="1" applyFill="1" applyBorder="1" applyAlignment="1" applyProtection="1">
      <alignment wrapText="1"/>
    </xf>
    <xf numFmtId="43" fontId="21" fillId="0" borderId="0" xfId="1" applyFont="1" applyFill="1" applyAlignment="1" applyProtection="1">
      <alignment horizontal="right" wrapText="1"/>
    </xf>
    <xf numFmtId="1" fontId="21" fillId="0" borderId="22" xfId="0" applyNumberFormat="1" applyFont="1" applyBorder="1" applyAlignment="1">
      <alignment wrapText="1"/>
    </xf>
    <xf numFmtId="1" fontId="24" fillId="0" borderId="33" xfId="0" applyNumberFormat="1" applyFont="1" applyBorder="1" applyAlignment="1">
      <alignment wrapText="1"/>
    </xf>
    <xf numFmtId="1" fontId="20" fillId="0" borderId="33" xfId="0" applyNumberFormat="1" applyFont="1" applyBorder="1" applyAlignment="1">
      <alignment wrapText="1"/>
    </xf>
    <xf numFmtId="1" fontId="0" fillId="0" borderId="33" xfId="0" applyNumberFormat="1" applyBorder="1" applyAlignment="1">
      <alignment wrapText="1"/>
    </xf>
    <xf numFmtId="1" fontId="12" fillId="0" borderId="33" xfId="0" applyNumberFormat="1" applyFont="1" applyBorder="1" applyAlignment="1">
      <alignment wrapText="1"/>
    </xf>
    <xf numFmtId="1" fontId="20" fillId="6" borderId="21" xfId="0" applyNumberFormat="1" applyFont="1" applyFill="1" applyBorder="1"/>
    <xf numFmtId="1" fontId="19" fillId="7" borderId="25" xfId="0" applyNumberFormat="1" applyFont="1" applyFill="1" applyBorder="1"/>
    <xf numFmtId="1" fontId="20" fillId="7" borderId="21" xfId="0" applyNumberFormat="1" applyFont="1" applyFill="1" applyBorder="1"/>
    <xf numFmtId="1" fontId="20" fillId="7" borderId="23" xfId="0" applyNumberFormat="1" applyFont="1" applyFill="1" applyBorder="1"/>
    <xf numFmtId="1" fontId="0" fillId="7" borderId="21" xfId="0" applyNumberFormat="1" applyFill="1" applyBorder="1"/>
    <xf numFmtId="1" fontId="0" fillId="7" borderId="21" xfId="0" applyNumberFormat="1" applyFill="1" applyBorder="1" applyAlignment="1">
      <alignment horizontal="right"/>
    </xf>
    <xf numFmtId="1" fontId="5" fillId="7" borderId="21" xfId="0" applyNumberFormat="1" applyFont="1" applyFill="1" applyBorder="1" applyAlignment="1">
      <alignment horizontal="right"/>
    </xf>
    <xf numFmtId="1" fontId="20" fillId="7" borderId="21" xfId="0" applyNumberFormat="1" applyFont="1" applyFill="1" applyBorder="1" applyAlignment="1">
      <alignment horizontal="right"/>
    </xf>
    <xf numFmtId="1" fontId="20" fillId="7" borderId="21" xfId="0" applyNumberFormat="1" applyFont="1" applyFill="1" applyBorder="1" applyAlignment="1">
      <alignment horizontal="left"/>
    </xf>
    <xf numFmtId="49" fontId="0" fillId="0" borderId="0" xfId="0" applyNumberFormat="1" applyAlignment="1">
      <alignment horizontal="center"/>
    </xf>
    <xf numFmtId="43" fontId="22" fillId="0" borderId="23" xfId="1" applyFont="1" applyFill="1" applyBorder="1" applyAlignment="1" applyProtection="1">
      <alignment horizontal="center" wrapText="1"/>
    </xf>
    <xf numFmtId="9" fontId="0" fillId="0" borderId="24" xfId="4" quotePrefix="1" applyFont="1" applyFill="1" applyBorder="1" applyProtection="1"/>
    <xf numFmtId="2" fontId="12" fillId="0" borderId="21" xfId="1" applyNumberFormat="1" applyFont="1" applyFill="1" applyBorder="1" applyProtection="1"/>
    <xf numFmtId="43" fontId="2" fillId="0" borderId="24" xfId="1" applyFont="1" applyFill="1" applyBorder="1" applyAlignment="1" applyProtection="1">
      <alignment horizontal="center" wrapText="1"/>
    </xf>
    <xf numFmtId="43" fontId="20" fillId="0" borderId="24" xfId="1" applyFont="1" applyFill="1" applyBorder="1" applyAlignment="1" applyProtection="1">
      <alignment horizontal="center" wrapText="1"/>
    </xf>
    <xf numFmtId="43" fontId="20" fillId="0" borderId="24" xfId="1" applyFont="1" applyFill="1" applyBorder="1" applyAlignment="1" applyProtection="1">
      <alignment horizontal="center"/>
    </xf>
    <xf numFmtId="10" fontId="3" fillId="0" borderId="20" xfId="4" applyNumberFormat="1" applyFont="1" applyFill="1" applyBorder="1" applyAlignment="1" applyProtection="1">
      <alignment horizontal="center" wrapText="1"/>
    </xf>
    <xf numFmtId="43" fontId="32" fillId="0" borderId="20" xfId="1" applyFont="1" applyFill="1" applyBorder="1" applyAlignment="1" applyProtection="1">
      <alignment horizontal="center" wrapText="1"/>
    </xf>
    <xf numFmtId="165" fontId="12" fillId="0" borderId="20" xfId="1" applyNumberFormat="1" applyFont="1" applyFill="1" applyBorder="1" applyAlignment="1" applyProtection="1">
      <alignment horizontal="center"/>
      <protection locked="0"/>
    </xf>
    <xf numFmtId="165" fontId="12" fillId="0" borderId="20" xfId="1" quotePrefix="1" applyNumberFormat="1" applyFont="1" applyFill="1" applyBorder="1" applyAlignment="1" applyProtection="1">
      <alignment horizontal="center"/>
      <protection locked="0"/>
    </xf>
    <xf numFmtId="165" fontId="21" fillId="0" borderId="23" xfId="1" applyNumberFormat="1" applyFont="1" applyFill="1" applyBorder="1" applyAlignment="1" applyProtection="1">
      <alignment horizontal="center"/>
    </xf>
    <xf numFmtId="43" fontId="20" fillId="0" borderId="0" xfId="1" applyFont="1" applyFill="1" applyAlignment="1" applyProtection="1">
      <alignment horizontal="left" wrapText="1"/>
    </xf>
    <xf numFmtId="1" fontId="0" fillId="6" borderId="21" xfId="0" applyNumberFormat="1" applyFill="1" applyBorder="1"/>
    <xf numFmtId="1" fontId="2" fillId="6" borderId="21" xfId="0" applyNumberFormat="1" applyFont="1" applyFill="1" applyBorder="1"/>
    <xf numFmtId="1" fontId="0" fillId="6" borderId="21" xfId="0" applyNumberFormat="1" applyFill="1" applyBorder="1" applyAlignment="1">
      <alignment horizontal="right"/>
    </xf>
    <xf numFmtId="1" fontId="5" fillId="6" borderId="21" xfId="0" applyNumberFormat="1" applyFont="1" applyFill="1" applyBorder="1" applyAlignment="1">
      <alignment horizontal="right"/>
    </xf>
    <xf numFmtId="1" fontId="20" fillId="6" borderId="21" xfId="0" applyNumberFormat="1" applyFont="1" applyFill="1" applyBorder="1" applyAlignment="1">
      <alignment horizontal="right"/>
    </xf>
    <xf numFmtId="1" fontId="20" fillId="6" borderId="21" xfId="0" applyNumberFormat="1" applyFont="1" applyFill="1" applyBorder="1" applyAlignment="1">
      <alignment horizontal="left"/>
    </xf>
    <xf numFmtId="1" fontId="0" fillId="6" borderId="25" xfId="0" applyNumberFormat="1" applyFill="1" applyBorder="1"/>
    <xf numFmtId="1" fontId="20" fillId="6" borderId="23" xfId="0" applyNumberFormat="1" applyFont="1" applyFill="1" applyBorder="1" applyAlignment="1">
      <alignment horizontal="left" wrapText="1"/>
    </xf>
    <xf numFmtId="1" fontId="2" fillId="0" borderId="33" xfId="0" applyNumberFormat="1" applyFont="1" applyBorder="1" applyAlignment="1">
      <alignment wrapText="1"/>
    </xf>
    <xf numFmtId="1" fontId="20" fillId="0" borderId="14" xfId="0" applyNumberFormat="1" applyFont="1" applyBorder="1"/>
    <xf numFmtId="165" fontId="2" fillId="0" borderId="0" xfId="1" applyNumberFormat="1" applyFont="1" applyAlignment="1" applyProtection="1">
      <alignment horizontal="center" wrapText="1"/>
    </xf>
    <xf numFmtId="0" fontId="40" fillId="0" borderId="0" xfId="0" applyFont="1" applyAlignment="1">
      <alignment horizontal="center"/>
    </xf>
    <xf numFmtId="44" fontId="0" fillId="0" borderId="1" xfId="2" applyFont="1" applyFill="1" applyBorder="1" applyProtection="1"/>
    <xf numFmtId="44" fontId="0" fillId="0" borderId="1" xfId="2" applyFont="1" applyFill="1" applyBorder="1" applyAlignment="1" applyProtection="1">
      <alignment horizontal="center"/>
    </xf>
    <xf numFmtId="1" fontId="0" fillId="0" borderId="24" xfId="0" applyNumberFormat="1" applyBorder="1" applyAlignment="1">
      <alignment horizontal="right"/>
    </xf>
    <xf numFmtId="1" fontId="26" fillId="0" borderId="19" xfId="0" applyNumberFormat="1" applyFont="1" applyBorder="1" applyAlignment="1">
      <alignment wrapText="1"/>
    </xf>
    <xf numFmtId="4" fontId="26" fillId="0" borderId="1" xfId="0" applyNumberFormat="1" applyFont="1" applyBorder="1" applyAlignment="1">
      <alignment wrapText="1"/>
    </xf>
    <xf numFmtId="44" fontId="27" fillId="0" borderId="20" xfId="2" applyFont="1" applyFill="1" applyBorder="1" applyAlignment="1" applyProtection="1">
      <alignment horizontal="right" wrapText="1"/>
    </xf>
    <xf numFmtId="10" fontId="20" fillId="0" borderId="15" xfId="4" applyNumberFormat="1" applyFont="1" applyFill="1" applyBorder="1" applyProtection="1"/>
    <xf numFmtId="10" fontId="20" fillId="0" borderId="18" xfId="4" applyNumberFormat="1" applyFont="1" applyFill="1" applyBorder="1" applyProtection="1"/>
    <xf numFmtId="2" fontId="12" fillId="0" borderId="25" xfId="1" applyNumberFormat="1" applyFont="1" applyFill="1" applyBorder="1" applyProtection="1"/>
    <xf numFmtId="2" fontId="12" fillId="0" borderId="23" xfId="1" applyNumberFormat="1" applyFont="1" applyFill="1" applyBorder="1" applyProtection="1"/>
    <xf numFmtId="43" fontId="20" fillId="0" borderId="1" xfId="1" applyFont="1" applyFill="1" applyBorder="1" applyAlignment="1" applyProtection="1"/>
    <xf numFmtId="1" fontId="1" fillId="0" borderId="21" xfId="0" applyNumberFormat="1" applyFont="1" applyBorder="1" applyAlignment="1">
      <alignment horizontal="right" wrapText="1"/>
    </xf>
    <xf numFmtId="1" fontId="1" fillId="0" borderId="20" xfId="0" applyNumberFormat="1" applyFont="1" applyBorder="1" applyAlignment="1">
      <alignment horizontal="right" wrapText="1"/>
    </xf>
    <xf numFmtId="1" fontId="3" fillId="0" borderId="20" xfId="0" applyNumberFormat="1" applyFont="1" applyBorder="1" applyAlignment="1">
      <alignment horizontal="right" wrapText="1"/>
    </xf>
    <xf numFmtId="1" fontId="1" fillId="0" borderId="20" xfId="0" applyNumberFormat="1" applyFont="1" applyBorder="1" applyAlignment="1">
      <alignment horizontal="right"/>
    </xf>
    <xf numFmtId="0" fontId="43" fillId="0" borderId="1" xfId="0" applyFont="1" applyBorder="1" applyAlignment="1" applyProtection="1">
      <alignment horizontal="center"/>
      <protection locked="0"/>
    </xf>
    <xf numFmtId="0" fontId="1" fillId="0" borderId="0" xfId="0" applyFont="1"/>
    <xf numFmtId="0" fontId="0" fillId="3" borderId="0" xfId="0" applyFill="1"/>
    <xf numFmtId="0" fontId="2" fillId="0" borderId="0" xfId="0" applyFont="1"/>
    <xf numFmtId="0" fontId="61" fillId="0" borderId="0" xfId="0" quotePrefix="1" applyFont="1"/>
    <xf numFmtId="0" fontId="43" fillId="0" borderId="0" xfId="0" applyFont="1"/>
    <xf numFmtId="0" fontId="61" fillId="0" borderId="0" xfId="0" applyFont="1" applyAlignment="1">
      <alignment horizontal="left"/>
    </xf>
    <xf numFmtId="0" fontId="2" fillId="0" borderId="0" xfId="0" applyFont="1" applyAlignment="1">
      <alignment horizontal="center"/>
    </xf>
    <xf numFmtId="0" fontId="2" fillId="3" borderId="0" xfId="0" quotePrefix="1" applyFont="1" applyFill="1"/>
    <xf numFmtId="0" fontId="61" fillId="0" borderId="0" xfId="0" applyFont="1"/>
    <xf numFmtId="0" fontId="62" fillId="3" borderId="0" xfId="0" applyFont="1" applyFill="1"/>
    <xf numFmtId="0" fontId="43" fillId="0" borderId="0" xfId="0" applyFont="1" applyAlignment="1">
      <alignment horizontal="center"/>
    </xf>
    <xf numFmtId="0" fontId="69" fillId="0" borderId="0" xfId="0" applyFont="1"/>
    <xf numFmtId="0" fontId="60" fillId="8" borderId="11" xfId="5" applyFont="1" applyFill="1" applyBorder="1" applyAlignment="1">
      <alignment horizontal="center"/>
    </xf>
    <xf numFmtId="0" fontId="60" fillId="0" borderId="46" xfId="5" applyFont="1" applyBorder="1" applyAlignment="1">
      <alignment wrapText="1"/>
    </xf>
    <xf numFmtId="0" fontId="43" fillId="0" borderId="1" xfId="0" applyFont="1" applyBorder="1" applyProtection="1">
      <protection locked="0"/>
    </xf>
    <xf numFmtId="1" fontId="63" fillId="0" borderId="0" xfId="0" applyNumberFormat="1" applyFont="1" applyAlignment="1">
      <alignment horizontal="right"/>
    </xf>
    <xf numFmtId="1" fontId="1" fillId="0" borderId="0" xfId="0" applyNumberFormat="1" applyFont="1" applyAlignment="1">
      <alignment horizontal="right"/>
    </xf>
    <xf numFmtId="1" fontId="1" fillId="0" borderId="13" xfId="0" applyNumberFormat="1" applyFont="1" applyBorder="1" applyAlignment="1">
      <alignment horizontal="right"/>
    </xf>
    <xf numFmtId="1" fontId="63" fillId="0" borderId="0" xfId="0" applyNumberFormat="1" applyFont="1"/>
    <xf numFmtId="0" fontId="1" fillId="0" borderId="19" xfId="0" applyFont="1" applyBorder="1" applyAlignment="1">
      <alignment horizontal="right"/>
    </xf>
    <xf numFmtId="43" fontId="12" fillId="0" borderId="25" xfId="1" applyFont="1" applyFill="1" applyBorder="1" applyProtection="1"/>
    <xf numFmtId="43" fontId="12" fillId="0" borderId="21" xfId="1" applyFont="1" applyFill="1" applyBorder="1" applyProtection="1"/>
    <xf numFmtId="43" fontId="12" fillId="0" borderId="23" xfId="1" applyFont="1" applyFill="1" applyBorder="1" applyProtection="1"/>
    <xf numFmtId="1" fontId="71" fillId="0" borderId="20" xfId="0" applyNumberFormat="1" applyFont="1" applyBorder="1" applyAlignment="1">
      <alignment horizontal="right" wrapText="1"/>
    </xf>
    <xf numFmtId="1" fontId="68" fillId="0" borderId="20" xfId="0" applyNumberFormat="1" applyFont="1" applyBorder="1"/>
    <xf numFmtId="43" fontId="35" fillId="9" borderId="20" xfId="1" applyFont="1" applyFill="1" applyBorder="1"/>
    <xf numFmtId="1" fontId="35" fillId="0" borderId="20" xfId="0" applyNumberFormat="1" applyFont="1" applyBorder="1" applyAlignment="1">
      <alignment horizontal="center" wrapText="1"/>
    </xf>
    <xf numFmtId="43" fontId="70" fillId="0" borderId="20" xfId="1" applyFont="1" applyFill="1" applyBorder="1"/>
    <xf numFmtId="43" fontId="35" fillId="0" borderId="0" xfId="1" applyFont="1" applyFill="1" applyBorder="1"/>
    <xf numFmtId="10" fontId="70" fillId="0" borderId="20" xfId="1" applyNumberFormat="1" applyFont="1" applyFill="1" applyBorder="1"/>
    <xf numFmtId="1" fontId="71" fillId="9" borderId="20" xfId="0" applyNumberFormat="1" applyFont="1" applyFill="1" applyBorder="1" applyAlignment="1">
      <alignment horizontal="center" wrapText="1"/>
    </xf>
    <xf numFmtId="1" fontId="71" fillId="9" borderId="20" xfId="0" applyNumberFormat="1" applyFont="1" applyFill="1" applyBorder="1" applyAlignment="1">
      <alignment horizontal="right" wrapText="1"/>
    </xf>
    <xf numFmtId="43" fontId="70" fillId="9" borderId="20" xfId="1" applyFont="1" applyFill="1" applyBorder="1"/>
    <xf numFmtId="10" fontId="70" fillId="9" borderId="20" xfId="1" applyNumberFormat="1" applyFont="1" applyFill="1" applyBorder="1"/>
    <xf numFmtId="10" fontId="35" fillId="9" borderId="20" xfId="1" applyNumberFormat="1" applyFont="1" applyFill="1" applyBorder="1"/>
    <xf numFmtId="4" fontId="2" fillId="0" borderId="20" xfId="0" applyNumberFormat="1" applyFont="1" applyBorder="1"/>
    <xf numFmtId="4" fontId="2" fillId="0" borderId="21" xfId="0" applyNumberFormat="1" applyFont="1" applyBorder="1"/>
    <xf numFmtId="10" fontId="3" fillId="0" borderId="20" xfId="0" applyNumberFormat="1" applyFont="1" applyBorder="1"/>
    <xf numFmtId="10" fontId="3" fillId="0" borderId="21" xfId="0" applyNumberFormat="1" applyFont="1" applyBorder="1"/>
    <xf numFmtId="10" fontId="2" fillId="0" borderId="0" xfId="0" applyNumberFormat="1" applyFont="1"/>
    <xf numFmtId="3" fontId="2" fillId="0" borderId="20" xfId="0" applyNumberFormat="1" applyFont="1" applyBorder="1"/>
    <xf numFmtId="3" fontId="2" fillId="0" borderId="21" xfId="0" applyNumberFormat="1" applyFont="1" applyBorder="1"/>
    <xf numFmtId="43" fontId="3" fillId="0" borderId="20" xfId="1" applyFont="1" applyFill="1" applyBorder="1"/>
    <xf numFmtId="43" fontId="3" fillId="0" borderId="0" xfId="1" applyFont="1" applyFill="1" applyBorder="1"/>
    <xf numFmtId="43" fontId="0" fillId="0" borderId="24" xfId="1" applyFont="1" applyFill="1" applyBorder="1" applyAlignment="1" applyProtection="1">
      <alignment wrapText="1"/>
    </xf>
    <xf numFmtId="43" fontId="2" fillId="0" borderId="33" xfId="1" applyFont="1" applyFill="1" applyBorder="1" applyAlignment="1" applyProtection="1">
      <alignment wrapText="1"/>
    </xf>
    <xf numFmtId="43" fontId="20" fillId="0" borderId="0" xfId="1" applyFont="1" applyFill="1" applyBorder="1" applyAlignment="1" applyProtection="1">
      <alignment horizontal="left" vertical="top" wrapText="1"/>
    </xf>
    <xf numFmtId="43" fontId="20" fillId="0" borderId="33" xfId="1" applyFont="1" applyFill="1" applyBorder="1" applyAlignment="1" applyProtection="1">
      <alignment horizontal="left" vertical="top" wrapText="1"/>
    </xf>
    <xf numFmtId="43" fontId="43" fillId="0" borderId="0" xfId="1" applyFont="1" applyProtection="1"/>
    <xf numFmtId="171" fontId="0" fillId="0" borderId="0" xfId="0" applyNumberFormat="1"/>
    <xf numFmtId="171" fontId="0" fillId="0" borderId="0" xfId="0" applyNumberFormat="1" applyAlignment="1">
      <alignment horizontal="left"/>
    </xf>
    <xf numFmtId="172" fontId="1" fillId="0" borderId="0" xfId="0" applyNumberFormat="1" applyFont="1"/>
    <xf numFmtId="1" fontId="3" fillId="0" borderId="22" xfId="0" applyNumberFormat="1" applyFont="1" applyBorder="1"/>
    <xf numFmtId="172" fontId="0" fillId="0" borderId="0" xfId="0" applyNumberFormat="1"/>
    <xf numFmtId="1" fontId="3" fillId="0" borderId="24" xfId="0" applyNumberFormat="1" applyFont="1" applyBorder="1"/>
    <xf numFmtId="1" fontId="1" fillId="0" borderId="0" xfId="0" applyNumberFormat="1" applyFont="1" applyAlignment="1">
      <alignment horizontal="center" wrapText="1"/>
    </xf>
    <xf numFmtId="0" fontId="0" fillId="0" borderId="0" xfId="0" applyAlignment="1">
      <alignment horizontal="right"/>
    </xf>
    <xf numFmtId="43" fontId="43" fillId="0" borderId="33" xfId="1" applyFont="1" applyFill="1" applyBorder="1" applyAlignment="1" applyProtection="1"/>
    <xf numFmtId="43" fontId="27" fillId="0" borderId="21" xfId="1" applyFont="1" applyFill="1" applyBorder="1" applyAlignment="1" applyProtection="1">
      <alignment horizontal="center" wrapText="1"/>
    </xf>
    <xf numFmtId="43" fontId="27" fillId="0" borderId="21" xfId="1" applyFont="1" applyFill="1" applyBorder="1" applyAlignment="1" applyProtection="1">
      <alignment horizontal="center" wrapText="1"/>
      <protection locked="0"/>
    </xf>
    <xf numFmtId="43" fontId="27" fillId="0" borderId="20" xfId="1" applyFont="1" applyFill="1" applyBorder="1" applyAlignment="1" applyProtection="1">
      <alignment horizontal="center" wrapText="1"/>
    </xf>
    <xf numFmtId="43" fontId="27" fillId="0" borderId="23" xfId="1" applyFont="1" applyFill="1" applyBorder="1" applyAlignment="1" applyProtection="1">
      <alignment horizontal="center" wrapText="1"/>
    </xf>
    <xf numFmtId="43" fontId="27" fillId="0" borderId="23" xfId="1" applyFont="1" applyFill="1" applyBorder="1" applyAlignment="1" applyProtection="1">
      <alignment horizontal="center" wrapText="1"/>
      <protection locked="0"/>
    </xf>
    <xf numFmtId="43" fontId="27" fillId="0" borderId="34" xfId="1" applyFont="1" applyFill="1" applyBorder="1" applyAlignment="1" applyProtection="1">
      <alignment horizontal="center" wrapText="1"/>
    </xf>
    <xf numFmtId="43" fontId="27" fillId="0" borderId="16" xfId="1" applyFont="1" applyFill="1" applyBorder="1" applyAlignment="1" applyProtection="1">
      <alignment horizontal="center" wrapText="1"/>
      <protection locked="0"/>
    </xf>
    <xf numFmtId="43" fontId="27" fillId="0" borderId="25" xfId="1" applyFont="1" applyFill="1" applyBorder="1" applyAlignment="1" applyProtection="1">
      <alignment horizontal="center" wrapText="1"/>
    </xf>
    <xf numFmtId="4" fontId="72" fillId="0" borderId="0" xfId="0" applyNumberFormat="1" applyFont="1" applyAlignment="1">
      <alignment wrapText="1"/>
    </xf>
    <xf numFmtId="4" fontId="72" fillId="0" borderId="14" xfId="0" applyNumberFormat="1" applyFont="1" applyBorder="1" applyAlignment="1">
      <alignment wrapText="1"/>
    </xf>
    <xf numFmtId="1" fontId="3" fillId="0" borderId="47" xfId="0" applyNumberFormat="1" applyFont="1" applyBorder="1" applyAlignment="1">
      <alignment horizontal="center" wrapText="1"/>
    </xf>
    <xf numFmtId="43" fontId="27" fillId="0" borderId="20" xfId="1" applyFont="1" applyFill="1" applyBorder="1" applyAlignment="1" applyProtection="1">
      <alignment horizontal="right" wrapText="1"/>
    </xf>
    <xf numFmtId="168" fontId="27" fillId="0" borderId="20" xfId="4" applyNumberFormat="1" applyFont="1" applyFill="1" applyBorder="1" applyAlignment="1" applyProtection="1">
      <alignment horizontal="center" wrapText="1"/>
    </xf>
    <xf numFmtId="0" fontId="0" fillId="0" borderId="20" xfId="0" applyBorder="1" applyAlignment="1">
      <alignment horizontal="right"/>
    </xf>
    <xf numFmtId="43" fontId="1" fillId="0" borderId="18" xfId="1" applyFont="1" applyFill="1" applyBorder="1" applyAlignment="1" applyProtection="1">
      <alignment horizontal="center"/>
    </xf>
    <xf numFmtId="4" fontId="1" fillId="0" borderId="20" xfId="1" applyNumberFormat="1" applyFont="1" applyFill="1" applyBorder="1" applyAlignment="1" applyProtection="1">
      <alignment horizontal="center"/>
    </xf>
    <xf numFmtId="3" fontId="1" fillId="0" borderId="21" xfId="0" applyNumberFormat="1" applyFont="1" applyBorder="1" applyAlignment="1">
      <alignment horizontal="center" wrapText="1"/>
    </xf>
    <xf numFmtId="2" fontId="1" fillId="0" borderId="1" xfId="1" applyNumberFormat="1" applyFont="1" applyFill="1" applyBorder="1" applyProtection="1"/>
    <xf numFmtId="10" fontId="1" fillId="0" borderId="23" xfId="4" applyNumberFormat="1" applyFont="1" applyFill="1" applyBorder="1" applyProtection="1"/>
    <xf numFmtId="10" fontId="1" fillId="0" borderId="18" xfId="4" quotePrefix="1" applyNumberFormat="1" applyFont="1" applyFill="1" applyBorder="1" applyProtection="1"/>
    <xf numFmtId="43" fontId="22" fillId="0" borderId="0" xfId="1" applyFont="1" applyFill="1" applyAlignment="1" applyProtection="1">
      <alignment wrapText="1"/>
    </xf>
    <xf numFmtId="0" fontId="2" fillId="0" borderId="0" xfId="0" applyFont="1" applyAlignment="1">
      <alignment horizontal="right"/>
    </xf>
    <xf numFmtId="0" fontId="43" fillId="0" borderId="0" xfId="0" applyFont="1" applyAlignment="1">
      <alignment horizontal="left"/>
    </xf>
    <xf numFmtId="1" fontId="3" fillId="0" borderId="33" xfId="0" applyNumberFormat="1" applyFont="1" applyBorder="1" applyAlignment="1">
      <alignment horizontal="center"/>
    </xf>
    <xf numFmtId="1" fontId="3" fillId="0" borderId="24" xfId="0" applyNumberFormat="1" applyFont="1" applyBorder="1" applyAlignment="1">
      <alignment horizontal="center"/>
    </xf>
    <xf numFmtId="49" fontId="1" fillId="0" borderId="0" xfId="0" applyNumberFormat="1" applyFont="1"/>
    <xf numFmtId="0" fontId="0" fillId="0" borderId="0" xfId="0" applyProtection="1">
      <protection locked="0"/>
    </xf>
    <xf numFmtId="0" fontId="1" fillId="0" borderId="0" xfId="0" applyFont="1" applyAlignment="1">
      <alignment horizontal="right"/>
    </xf>
    <xf numFmtId="165" fontId="0" fillId="0" borderId="0" xfId="1" applyNumberFormat="1" applyFont="1" applyAlignment="1" applyProtection="1">
      <alignment horizontal="right"/>
    </xf>
    <xf numFmtId="43" fontId="43" fillId="0" borderId="0" xfId="1" quotePrefix="1" applyFont="1" applyFill="1" applyBorder="1" applyAlignment="1" applyProtection="1"/>
    <xf numFmtId="0" fontId="0" fillId="0" borderId="33" xfId="0" applyBorder="1"/>
    <xf numFmtId="1" fontId="66" fillId="0" borderId="33" xfId="0" applyNumberFormat="1" applyFont="1" applyBorder="1" applyAlignment="1">
      <alignment wrapText="1"/>
    </xf>
    <xf numFmtId="1" fontId="1" fillId="0" borderId="21" xfId="0" applyNumberFormat="1" applyFont="1" applyBorder="1" applyAlignment="1" applyProtection="1">
      <alignment horizontal="right" wrapText="1"/>
      <protection locked="0"/>
    </xf>
    <xf numFmtId="2" fontId="28" fillId="0" borderId="1" xfId="0" applyNumberFormat="1" applyFont="1" applyBorder="1"/>
    <xf numFmtId="9" fontId="0" fillId="0" borderId="0" xfId="4" quotePrefix="1" applyFont="1" applyBorder="1" applyAlignment="1" applyProtection="1">
      <alignment horizontal="left"/>
    </xf>
    <xf numFmtId="1" fontId="3" fillId="0" borderId="0" xfId="0" applyNumberFormat="1" applyFont="1" applyAlignment="1">
      <alignment horizontal="left" wrapText="1"/>
    </xf>
    <xf numFmtId="0" fontId="2" fillId="0" borderId="20" xfId="0" applyFont="1" applyBorder="1" applyAlignment="1">
      <alignment horizontal="center" wrapText="1"/>
    </xf>
    <xf numFmtId="165" fontId="27" fillId="0" borderId="20" xfId="1" applyNumberFormat="1" applyFont="1" applyFill="1" applyBorder="1" applyAlignment="1" applyProtection="1">
      <alignment horizontal="right" wrapText="1"/>
      <protection locked="0"/>
    </xf>
    <xf numFmtId="4" fontId="1" fillId="0" borderId="0" xfId="0" applyNumberFormat="1" applyFont="1"/>
    <xf numFmtId="1" fontId="72" fillId="0" borderId="14" xfId="0" applyNumberFormat="1" applyFont="1" applyBorder="1"/>
    <xf numFmtId="4" fontId="40" fillId="0" borderId="0" xfId="0" applyNumberFormat="1" applyFont="1" applyAlignment="1">
      <alignment wrapText="1"/>
    </xf>
    <xf numFmtId="43" fontId="40" fillId="0" borderId="0" xfId="1" applyFont="1" applyFill="1" applyAlignment="1" applyProtection="1">
      <alignment wrapText="1"/>
    </xf>
    <xf numFmtId="4" fontId="40" fillId="0" borderId="0" xfId="0" applyNumberFormat="1" applyFont="1" applyAlignment="1">
      <alignment horizontal="right" wrapText="1"/>
    </xf>
    <xf numFmtId="9" fontId="40" fillId="0" borderId="0" xfId="4" applyFont="1" applyFill="1" applyAlignment="1" applyProtection="1">
      <alignment wrapText="1"/>
    </xf>
    <xf numFmtId="1" fontId="1" fillId="0" borderId="0" xfId="0" applyNumberFormat="1" applyFont="1"/>
    <xf numFmtId="1" fontId="1" fillId="0" borderId="0" xfId="0" quotePrefix="1" applyNumberFormat="1" applyFont="1"/>
    <xf numFmtId="165" fontId="2" fillId="0" borderId="20" xfId="1" applyNumberFormat="1" applyFont="1" applyFill="1" applyBorder="1" applyAlignment="1" applyProtection="1">
      <alignment wrapText="1"/>
      <protection locked="0"/>
    </xf>
    <xf numFmtId="43" fontId="22" fillId="0" borderId="20" xfId="1" applyFont="1" applyFill="1" applyBorder="1" applyAlignment="1" applyProtection="1">
      <alignment wrapText="1"/>
    </xf>
    <xf numFmtId="165" fontId="12" fillId="10" borderId="20" xfId="1" quotePrefix="1" applyNumberFormat="1" applyFont="1" applyFill="1" applyBorder="1" applyAlignment="1" applyProtection="1">
      <alignment horizontal="center"/>
      <protection locked="0"/>
    </xf>
    <xf numFmtId="4" fontId="1" fillId="0" borderId="23" xfId="0" applyNumberFormat="1" applyFont="1" applyBorder="1" applyAlignment="1">
      <alignment horizontal="center" wrapText="1"/>
    </xf>
    <xf numFmtId="4" fontId="1" fillId="0" borderId="19" xfId="0" applyNumberFormat="1" applyFont="1" applyBorder="1" applyAlignment="1" applyProtection="1">
      <alignment horizontal="center" wrapText="1"/>
      <protection locked="0"/>
    </xf>
    <xf numFmtId="1" fontId="1" fillId="0" borderId="33" xfId="0" applyNumberFormat="1" applyFont="1" applyBorder="1" applyAlignment="1">
      <alignment wrapText="1"/>
    </xf>
    <xf numFmtId="0" fontId="1" fillId="0" borderId="0" xfId="0" applyFont="1" applyAlignment="1">
      <alignment horizontal="center" wrapText="1"/>
    </xf>
    <xf numFmtId="168" fontId="42" fillId="0" borderId="24" xfId="4" applyNumberFormat="1" applyFont="1" applyFill="1" applyBorder="1" applyAlignment="1" applyProtection="1">
      <alignment horizontal="center" wrapText="1"/>
    </xf>
    <xf numFmtId="1" fontId="42" fillId="0" borderId="20" xfId="0" applyNumberFormat="1" applyFont="1" applyBorder="1" applyAlignment="1">
      <alignment horizontal="right" wrapText="1"/>
    </xf>
    <xf numFmtId="168" fontId="42" fillId="0" borderId="20" xfId="4" applyNumberFormat="1" applyFont="1" applyFill="1" applyBorder="1" applyAlignment="1" applyProtection="1">
      <alignment horizontal="center"/>
    </xf>
    <xf numFmtId="49" fontId="12" fillId="0" borderId="0" xfId="1" applyNumberFormat="1" applyFont="1" applyFill="1" applyBorder="1" applyProtection="1"/>
    <xf numFmtId="165" fontId="1" fillId="0" borderId="20" xfId="1" applyNumberFormat="1" applyFont="1" applyFill="1" applyBorder="1" applyAlignment="1" applyProtection="1">
      <alignment horizontal="center"/>
    </xf>
    <xf numFmtId="0" fontId="19" fillId="0" borderId="0" xfId="0" applyFont="1" applyAlignment="1">
      <alignment horizontal="center"/>
    </xf>
    <xf numFmtId="0" fontId="1" fillId="0" borderId="0" xfId="0" applyFont="1" applyAlignment="1">
      <alignment vertical="top" wrapText="1"/>
    </xf>
    <xf numFmtId="2" fontId="0" fillId="0" borderId="1" xfId="0" applyNumberFormat="1" applyBorder="1"/>
    <xf numFmtId="1" fontId="0" fillId="0" borderId="21" xfId="0" applyNumberFormat="1" applyBorder="1"/>
    <xf numFmtId="1" fontId="1" fillId="0" borderId="21" xfId="0" applyNumberFormat="1" applyFont="1" applyBorder="1" applyAlignment="1">
      <alignment horizontal="center"/>
    </xf>
    <xf numFmtId="1" fontId="22" fillId="0" borderId="21" xfId="0" applyNumberFormat="1" applyFont="1" applyBorder="1" applyAlignment="1">
      <alignment horizontal="center"/>
    </xf>
    <xf numFmtId="0" fontId="2" fillId="0" borderId="0" xfId="0" quotePrefix="1" applyFont="1" applyAlignment="1">
      <alignment horizontal="left"/>
    </xf>
    <xf numFmtId="0" fontId="73" fillId="0" borderId="0" xfId="0" quotePrefix="1" applyFont="1" applyAlignment="1">
      <alignment horizontal="left"/>
    </xf>
    <xf numFmtId="44" fontId="0" fillId="0" borderId="33" xfId="2" applyFont="1" applyBorder="1" applyProtection="1"/>
    <xf numFmtId="0" fontId="74" fillId="0" borderId="20" xfId="0" applyFont="1" applyBorder="1" applyAlignment="1">
      <alignment horizontal="right"/>
    </xf>
    <xf numFmtId="0" fontId="74" fillId="0" borderId="0" xfId="0" applyFont="1"/>
    <xf numFmtId="0" fontId="75" fillId="0" borderId="0" xfId="0" applyFont="1"/>
    <xf numFmtId="0" fontId="76" fillId="0" borderId="0" xfId="0" applyFont="1"/>
    <xf numFmtId="0" fontId="74" fillId="3" borderId="0" xfId="0" quotePrefix="1" applyFont="1" applyFill="1"/>
    <xf numFmtId="1" fontId="42" fillId="0" borderId="24" xfId="0" applyNumberFormat="1" applyFont="1" applyBorder="1" applyAlignment="1">
      <alignment horizontal="right" wrapText="1"/>
    </xf>
    <xf numFmtId="168" fontId="42" fillId="0" borderId="24" xfId="4" applyNumberFormat="1" applyFont="1" applyFill="1" applyBorder="1" applyAlignment="1" applyProtection="1">
      <alignment horizontal="center"/>
    </xf>
    <xf numFmtId="4" fontId="26" fillId="0" borderId="18" xfId="0" applyNumberFormat="1" applyFont="1" applyBorder="1" applyAlignment="1">
      <alignment wrapText="1"/>
    </xf>
    <xf numFmtId="4" fontId="26" fillId="0" borderId="17" xfId="0" applyNumberFormat="1" applyFont="1" applyBorder="1" applyAlignment="1">
      <alignment wrapText="1"/>
    </xf>
    <xf numFmtId="4" fontId="22" fillId="0" borderId="18" xfId="0" applyNumberFormat="1" applyFont="1" applyBorder="1" applyAlignment="1">
      <alignment wrapText="1"/>
    </xf>
    <xf numFmtId="4" fontId="74" fillId="11" borderId="23" xfId="0" applyNumberFormat="1" applyFont="1" applyFill="1" applyBorder="1" applyAlignment="1">
      <alignment horizontal="center" wrapText="1"/>
    </xf>
    <xf numFmtId="43" fontId="27" fillId="11" borderId="21" xfId="1" applyFont="1" applyFill="1" applyBorder="1" applyAlignment="1" applyProtection="1">
      <alignment horizontal="center" wrapText="1"/>
    </xf>
    <xf numFmtId="43" fontId="27" fillId="11" borderId="21" xfId="1" applyFont="1" applyFill="1" applyBorder="1" applyAlignment="1" applyProtection="1">
      <alignment horizontal="center" wrapText="1"/>
      <protection locked="0"/>
    </xf>
    <xf numFmtId="43" fontId="27" fillId="11" borderId="20" xfId="1" applyFont="1" applyFill="1" applyBorder="1" applyAlignment="1" applyProtection="1">
      <alignment horizontal="center" wrapText="1"/>
    </xf>
    <xf numFmtId="43" fontId="27" fillId="11" borderId="23" xfId="1" applyFont="1" applyFill="1" applyBorder="1" applyAlignment="1" applyProtection="1">
      <alignment horizontal="center" wrapText="1"/>
    </xf>
    <xf numFmtId="4" fontId="27" fillId="11" borderId="21" xfId="0" applyNumberFormat="1" applyFont="1" applyFill="1" applyBorder="1" applyAlignment="1">
      <alignment horizontal="center" wrapText="1"/>
    </xf>
    <xf numFmtId="43" fontId="27" fillId="11" borderId="34" xfId="1" applyFont="1" applyFill="1" applyBorder="1" applyAlignment="1" applyProtection="1">
      <alignment horizontal="center" wrapText="1"/>
    </xf>
    <xf numFmtId="43" fontId="27" fillId="11" borderId="25" xfId="1" applyFont="1" applyFill="1" applyBorder="1" applyAlignment="1" applyProtection="1">
      <alignment horizontal="center" wrapText="1"/>
    </xf>
    <xf numFmtId="168" fontId="27" fillId="11" borderId="20" xfId="4" applyNumberFormat="1" applyFont="1" applyFill="1" applyBorder="1" applyAlignment="1" applyProtection="1">
      <alignment horizontal="center" wrapText="1"/>
    </xf>
    <xf numFmtId="1" fontId="3" fillId="11" borderId="47" xfId="0" applyNumberFormat="1" applyFont="1" applyFill="1" applyBorder="1" applyAlignment="1">
      <alignment horizontal="center" wrapText="1"/>
    </xf>
    <xf numFmtId="0" fontId="0" fillId="0" borderId="1" xfId="0" applyBorder="1" applyProtection="1">
      <protection locked="0"/>
    </xf>
    <xf numFmtId="0" fontId="1" fillId="0" borderId="0" xfId="0" applyFont="1" applyAlignment="1">
      <alignment horizontal="center"/>
    </xf>
    <xf numFmtId="0" fontId="0" fillId="0" borderId="0" xfId="0" applyAlignment="1">
      <alignment horizontal="center"/>
    </xf>
    <xf numFmtId="0" fontId="2" fillId="0" borderId="0" xfId="0" applyFont="1" applyAlignment="1">
      <alignment horizontal="right"/>
    </xf>
    <xf numFmtId="0" fontId="43" fillId="0" borderId="1" xfId="0" applyFont="1" applyBorder="1" applyAlignment="1" applyProtection="1">
      <alignment horizontal="left" wrapText="1"/>
      <protection locked="0"/>
    </xf>
    <xf numFmtId="0" fontId="43" fillId="0" borderId="33" xfId="0" applyFont="1" applyBorder="1" applyAlignment="1" applyProtection="1">
      <alignment horizontal="left"/>
      <protection locked="0"/>
    </xf>
    <xf numFmtId="0" fontId="67" fillId="0" borderId="0" xfId="0" applyFont="1" applyAlignment="1">
      <alignment horizontal="center"/>
    </xf>
    <xf numFmtId="0" fontId="3" fillId="0" borderId="0" xfId="0" applyFont="1" applyAlignment="1">
      <alignment horizontal="center"/>
    </xf>
    <xf numFmtId="0" fontId="43" fillId="0" borderId="1" xfId="0" applyFont="1" applyBorder="1" applyAlignment="1" applyProtection="1">
      <alignment horizontal="center"/>
      <protection locked="0"/>
    </xf>
    <xf numFmtId="0" fontId="43" fillId="0" borderId="1" xfId="0" applyFont="1" applyBorder="1" applyAlignment="1" applyProtection="1">
      <alignment horizontal="left"/>
      <protection locked="0"/>
    </xf>
    <xf numFmtId="0" fontId="1" fillId="0" borderId="0" xfId="0" applyFont="1" applyAlignment="1">
      <alignment horizontal="right"/>
    </xf>
    <xf numFmtId="0" fontId="0" fillId="0" borderId="0" xfId="0" applyAlignment="1">
      <alignment horizontal="right"/>
    </xf>
    <xf numFmtId="49" fontId="1" fillId="0" borderId="24" xfId="0" applyNumberFormat="1" applyFont="1" applyBorder="1" applyAlignment="1" applyProtection="1">
      <alignment horizontal="center"/>
      <protection locked="0"/>
    </xf>
    <xf numFmtId="0" fontId="1" fillId="0" borderId="22" xfId="0" applyFont="1" applyBorder="1" applyAlignment="1" applyProtection="1">
      <alignment horizontal="center"/>
      <protection locked="0"/>
    </xf>
    <xf numFmtId="0" fontId="43" fillId="0" borderId="1" xfId="0" quotePrefix="1" applyFont="1" applyBorder="1" applyAlignment="1" applyProtection="1">
      <alignment horizontal="left"/>
      <protection locked="0"/>
    </xf>
    <xf numFmtId="0" fontId="4" fillId="0" borderId="0" xfId="0" applyFont="1" applyAlignment="1">
      <alignment horizontal="center"/>
    </xf>
    <xf numFmtId="1" fontId="3" fillId="0" borderId="16" xfId="0" applyNumberFormat="1" applyFont="1" applyBorder="1" applyAlignment="1">
      <alignment horizontal="left" wrapText="1"/>
    </xf>
    <xf numFmtId="1" fontId="3" fillId="0" borderId="0" xfId="0" applyNumberFormat="1" applyFont="1" applyAlignment="1">
      <alignment horizontal="left" wrapText="1"/>
    </xf>
    <xf numFmtId="1" fontId="3" fillId="0" borderId="19" xfId="0" applyNumberFormat="1" applyFont="1" applyBorder="1" applyAlignment="1">
      <alignment horizontal="left" vertical="top" wrapText="1"/>
    </xf>
    <xf numFmtId="1" fontId="3" fillId="0" borderId="1" xfId="0" applyNumberFormat="1" applyFont="1" applyBorder="1" applyAlignment="1">
      <alignment horizontal="left" vertical="top" wrapText="1"/>
    </xf>
    <xf numFmtId="1" fontId="3" fillId="0" borderId="18" xfId="0" applyNumberFormat="1" applyFont="1" applyBorder="1" applyAlignment="1">
      <alignment horizontal="left" vertical="top" wrapText="1"/>
    </xf>
    <xf numFmtId="1" fontId="3" fillId="0" borderId="16" xfId="0" applyNumberFormat="1" applyFont="1" applyBorder="1" applyAlignment="1">
      <alignment horizontal="center" wrapText="1"/>
    </xf>
    <xf numFmtId="1" fontId="3" fillId="0" borderId="0" xfId="0" applyNumberFormat="1" applyFont="1" applyAlignment="1">
      <alignment horizontal="center" wrapText="1"/>
    </xf>
    <xf numFmtId="1" fontId="21" fillId="0" borderId="24" xfId="4" applyNumberFormat="1" applyFont="1" applyFill="1" applyBorder="1" applyAlignment="1" applyProtection="1">
      <alignment horizontal="center" wrapText="1"/>
    </xf>
    <xf numFmtId="1" fontId="21" fillId="0" borderId="33" xfId="4" applyNumberFormat="1" applyFont="1" applyFill="1" applyBorder="1" applyAlignment="1" applyProtection="1">
      <alignment horizontal="center" wrapText="1"/>
    </xf>
    <xf numFmtId="1" fontId="3" fillId="0" borderId="24" xfId="0" applyNumberFormat="1" applyFont="1" applyBorder="1" applyAlignment="1">
      <alignment horizontal="center" wrapText="1"/>
    </xf>
    <xf numFmtId="1" fontId="3" fillId="0" borderId="33" xfId="0" applyNumberFormat="1" applyFont="1" applyBorder="1" applyAlignment="1">
      <alignment horizontal="center" wrapText="1"/>
    </xf>
    <xf numFmtId="1" fontId="3" fillId="0" borderId="19" xfId="0" applyNumberFormat="1" applyFont="1" applyBorder="1" applyAlignment="1">
      <alignment horizontal="center" wrapText="1"/>
    </xf>
    <xf numFmtId="1" fontId="3" fillId="0" borderId="1" xfId="0" applyNumberFormat="1" applyFont="1" applyBorder="1" applyAlignment="1">
      <alignment horizontal="center" wrapText="1"/>
    </xf>
    <xf numFmtId="1" fontId="3" fillId="0" borderId="18" xfId="0" applyNumberFormat="1" applyFont="1" applyBorder="1" applyAlignment="1">
      <alignment horizontal="center" wrapText="1"/>
    </xf>
    <xf numFmtId="1" fontId="19" fillId="0" borderId="24" xfId="0" applyNumberFormat="1" applyFont="1" applyBorder="1" applyAlignment="1">
      <alignment horizontal="center"/>
    </xf>
    <xf numFmtId="1" fontId="19" fillId="0" borderId="33" xfId="0" applyNumberFormat="1" applyFont="1" applyBorder="1" applyAlignment="1">
      <alignment horizontal="center"/>
    </xf>
    <xf numFmtId="0" fontId="43" fillId="0" borderId="24" xfId="0" quotePrefix="1" applyFont="1" applyBorder="1" applyAlignment="1">
      <alignment horizontal="left"/>
    </xf>
    <xf numFmtId="0" fontId="43" fillId="0" borderId="33" xfId="0" applyFont="1" applyBorder="1" applyAlignment="1">
      <alignment horizontal="left"/>
    </xf>
    <xf numFmtId="0" fontId="43" fillId="0" borderId="22" xfId="0" applyFont="1" applyBorder="1" applyAlignment="1">
      <alignment horizontal="left"/>
    </xf>
    <xf numFmtId="1" fontId="1" fillId="0" borderId="33" xfId="0" applyNumberFormat="1" applyFont="1" applyBorder="1" applyAlignment="1">
      <alignment horizontal="right" wrapText="1"/>
    </xf>
    <xf numFmtId="1" fontId="1" fillId="0" borderId="24" xfId="4" applyNumberFormat="1" applyFont="1" applyFill="1" applyBorder="1" applyAlignment="1" applyProtection="1">
      <alignment horizontal="right"/>
    </xf>
    <xf numFmtId="1" fontId="1" fillId="0" borderId="33" xfId="4" applyNumberFormat="1" applyFont="1" applyFill="1" applyBorder="1" applyAlignment="1" applyProtection="1">
      <alignment horizontal="right"/>
    </xf>
    <xf numFmtId="43" fontId="43" fillId="0" borderId="33" xfId="1" applyFont="1" applyFill="1" applyBorder="1" applyAlignment="1" applyProtection="1">
      <alignment wrapText="1"/>
    </xf>
    <xf numFmtId="0" fontId="3" fillId="0" borderId="24" xfId="0" applyFont="1" applyBorder="1" applyAlignment="1">
      <alignment horizontal="left" vertical="top" wrapText="1"/>
    </xf>
    <xf numFmtId="0" fontId="3" fillId="0" borderId="33" xfId="0" applyFont="1" applyBorder="1" applyAlignment="1">
      <alignment horizontal="left" vertical="top" wrapText="1"/>
    </xf>
    <xf numFmtId="0" fontId="3" fillId="0" borderId="22" xfId="0" applyFont="1" applyBorder="1" applyAlignment="1">
      <alignment horizontal="left" vertical="top" wrapText="1"/>
    </xf>
    <xf numFmtId="0" fontId="1" fillId="0" borderId="0" xfId="0" applyFont="1" applyAlignment="1" applyProtection="1">
      <alignment horizontal="left" vertical="top" wrapText="1"/>
      <protection locked="0"/>
    </xf>
    <xf numFmtId="0" fontId="0" fillId="0" borderId="0" xfId="0" applyAlignment="1" applyProtection="1">
      <alignment horizontal="left" vertical="top" wrapText="1"/>
      <protection locked="0"/>
    </xf>
    <xf numFmtId="0" fontId="1" fillId="0" borderId="0" xfId="0" applyFont="1" applyAlignment="1">
      <alignment horizontal="left" vertical="top" wrapText="1"/>
    </xf>
    <xf numFmtId="0" fontId="19" fillId="0" borderId="0" xfId="0" applyFont="1" applyAlignment="1">
      <alignment horizontal="center"/>
    </xf>
    <xf numFmtId="0" fontId="3" fillId="0" borderId="24" xfId="0" applyFont="1" applyBorder="1" applyAlignment="1">
      <alignment horizontal="left"/>
    </xf>
    <xf numFmtId="0" fontId="3" fillId="0" borderId="33" xfId="0" applyFont="1" applyBorder="1" applyAlignment="1">
      <alignment horizontal="left"/>
    </xf>
    <xf numFmtId="0" fontId="3" fillId="0" borderId="22" xfId="0" applyFont="1" applyBorder="1" applyAlignment="1">
      <alignment horizontal="left"/>
    </xf>
    <xf numFmtId="0" fontId="1" fillId="0" borderId="13"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15" xfId="0" applyFont="1" applyBorder="1" applyAlignment="1" applyProtection="1">
      <alignment horizontal="left" vertical="top" wrapText="1"/>
      <protection locked="0"/>
    </xf>
    <xf numFmtId="0" fontId="3" fillId="0" borderId="14" xfId="0" applyFont="1" applyBorder="1" applyAlignment="1">
      <alignment horizontal="left" vertical="top" wrapText="1"/>
    </xf>
    <xf numFmtId="10" fontId="70" fillId="9" borderId="24" xfId="1" applyNumberFormat="1" applyFont="1" applyFill="1" applyBorder="1" applyAlignment="1">
      <alignment horizontal="center"/>
    </xf>
    <xf numFmtId="10" fontId="70" fillId="9" borderId="22" xfId="1" applyNumberFormat="1" applyFont="1" applyFill="1" applyBorder="1" applyAlignment="1">
      <alignment horizontal="center"/>
    </xf>
    <xf numFmtId="10" fontId="0" fillId="0" borderId="20" xfId="1" applyNumberFormat="1" applyFont="1" applyBorder="1" applyAlignment="1">
      <alignment horizontal="center"/>
    </xf>
    <xf numFmtId="10" fontId="35" fillId="0" borderId="20" xfId="1" applyNumberFormat="1" applyFont="1" applyBorder="1" applyAlignment="1">
      <alignment horizontal="center"/>
    </xf>
    <xf numFmtId="10" fontId="70" fillId="0" borderId="20" xfId="1" applyNumberFormat="1" applyFont="1" applyFill="1" applyBorder="1" applyAlignment="1">
      <alignment horizontal="center"/>
    </xf>
    <xf numFmtId="10" fontId="35" fillId="9" borderId="24" xfId="1" applyNumberFormat="1" applyFont="1" applyFill="1" applyBorder="1" applyAlignment="1">
      <alignment horizontal="center"/>
    </xf>
    <xf numFmtId="10" fontId="35" fillId="9" borderId="22" xfId="1" applyNumberFormat="1" applyFont="1" applyFill="1" applyBorder="1" applyAlignment="1">
      <alignment horizontal="center"/>
    </xf>
    <xf numFmtId="1" fontId="2" fillId="0" borderId="0" xfId="0" applyNumberFormat="1" applyFont="1" applyAlignment="1">
      <alignment horizontal="justify" vertical="top" wrapText="1"/>
    </xf>
    <xf numFmtId="1" fontId="3" fillId="0" borderId="0" xfId="0" applyNumberFormat="1" applyFont="1" applyAlignment="1">
      <alignment horizontal="left" vertical="top" wrapText="1"/>
    </xf>
    <xf numFmtId="3" fontId="2" fillId="0" borderId="20" xfId="0" applyNumberFormat="1" applyFont="1" applyBorder="1" applyAlignment="1">
      <alignment horizontal="center"/>
    </xf>
    <xf numFmtId="0" fontId="2" fillId="0" borderId="20" xfId="0" applyFont="1" applyBorder="1"/>
    <xf numFmtId="10" fontId="2" fillId="0" borderId="20" xfId="0" applyNumberFormat="1" applyFont="1" applyBorder="1" applyAlignment="1">
      <alignment horizontal="center"/>
    </xf>
    <xf numFmtId="4" fontId="2" fillId="0" borderId="20" xfId="0" applyNumberFormat="1" applyFont="1" applyBorder="1" applyAlignment="1">
      <alignment horizontal="center"/>
    </xf>
    <xf numFmtId="10" fontId="0" fillId="0" borderId="24" xfId="4" applyNumberFormat="1" applyFont="1" applyBorder="1" applyAlignment="1">
      <alignment horizontal="center"/>
    </xf>
    <xf numFmtId="10" fontId="0" fillId="0" borderId="22" xfId="4" applyNumberFormat="1" applyFont="1" applyBorder="1" applyAlignment="1">
      <alignment horizontal="center"/>
    </xf>
    <xf numFmtId="0" fontId="2" fillId="0" borderId="20" xfId="0" applyFont="1" applyBorder="1" applyAlignment="1">
      <alignment horizontal="center" wrapText="1"/>
    </xf>
    <xf numFmtId="10" fontId="35" fillId="0" borderId="24" xfId="4" applyNumberFormat="1" applyFont="1" applyBorder="1" applyAlignment="1">
      <alignment horizontal="center"/>
    </xf>
    <xf numFmtId="10" fontId="35" fillId="0" borderId="22" xfId="4" applyNumberFormat="1" applyFont="1" applyBorder="1" applyAlignment="1">
      <alignment horizontal="center"/>
    </xf>
    <xf numFmtId="0" fontId="1" fillId="0" borderId="0" xfId="0" applyFont="1" applyAlignment="1">
      <alignment horizontal="left" wrapText="1"/>
    </xf>
    <xf numFmtId="0" fontId="2" fillId="0" borderId="0" xfId="0" applyFont="1" applyAlignment="1">
      <alignment horizontal="left" wrapText="1"/>
    </xf>
    <xf numFmtId="1" fontId="2" fillId="0" borderId="0" xfId="0" applyNumberFormat="1" applyFont="1" applyAlignment="1">
      <alignment horizontal="justify" wrapText="1"/>
    </xf>
    <xf numFmtId="0" fontId="2" fillId="0" borderId="20" xfId="0" applyFont="1" applyBorder="1" applyAlignment="1">
      <alignment horizontal="center"/>
    </xf>
    <xf numFmtId="0" fontId="0" fillId="0" borderId="20" xfId="0" applyBorder="1" applyAlignment="1">
      <alignment horizontal="center"/>
    </xf>
    <xf numFmtId="0" fontId="2" fillId="0" borderId="0" xfId="0" applyFont="1" applyAlignment="1">
      <alignment horizontal="left" vertical="top" wrapText="1"/>
    </xf>
    <xf numFmtId="43" fontId="43" fillId="0" borderId="0" xfId="1" applyFont="1" applyAlignment="1" applyProtection="1">
      <alignment horizontal="left"/>
    </xf>
    <xf numFmtId="43" fontId="43" fillId="0" borderId="0" xfId="1" quotePrefix="1" applyFont="1" applyFill="1" applyBorder="1" applyAlignment="1" applyProtection="1">
      <alignment horizontal="left"/>
    </xf>
    <xf numFmtId="43" fontId="43" fillId="0" borderId="0" xfId="1" applyFont="1" applyFill="1" applyBorder="1" applyAlignment="1" applyProtection="1">
      <alignment horizontal="left"/>
    </xf>
    <xf numFmtId="0" fontId="2" fillId="0" borderId="24" xfId="0" applyFont="1" applyBorder="1" applyAlignment="1">
      <alignment horizontal="center" wrapText="1"/>
    </xf>
    <xf numFmtId="0" fontId="2" fillId="0" borderId="22" xfId="0" applyFont="1" applyBorder="1" applyAlignment="1">
      <alignment horizontal="center" wrapText="1"/>
    </xf>
    <xf numFmtId="1" fontId="1" fillId="0" borderId="22" xfId="0" applyNumberFormat="1" applyFont="1" applyBorder="1" applyAlignment="1">
      <alignment horizontal="center" wrapText="1"/>
    </xf>
    <xf numFmtId="1" fontId="20" fillId="0" borderId="20" xfId="0" applyNumberFormat="1" applyFont="1" applyBorder="1" applyAlignment="1">
      <alignment horizontal="center" wrapText="1"/>
    </xf>
    <xf numFmtId="1" fontId="21" fillId="0" borderId="22" xfId="4" applyNumberFormat="1" applyFont="1" applyFill="1" applyBorder="1" applyAlignment="1" applyProtection="1">
      <alignment horizontal="center" wrapText="1"/>
    </xf>
    <xf numFmtId="1" fontId="2" fillId="0" borderId="20" xfId="0" applyNumberFormat="1" applyFont="1" applyBorder="1" applyAlignment="1" applyProtection="1">
      <alignment horizontal="left" vertical="top" wrapText="1"/>
      <protection locked="0"/>
    </xf>
    <xf numFmtId="1" fontId="20" fillId="0" borderId="24" xfId="0" applyNumberFormat="1" applyFont="1" applyBorder="1" applyAlignment="1" applyProtection="1">
      <alignment horizontal="left" vertical="top" wrapText="1"/>
      <protection locked="0"/>
    </xf>
    <xf numFmtId="1" fontId="20" fillId="0" borderId="20" xfId="0" applyNumberFormat="1" applyFont="1" applyBorder="1" applyAlignment="1" applyProtection="1">
      <alignment horizontal="left" vertical="top" wrapText="1"/>
      <protection locked="0"/>
    </xf>
    <xf numFmtId="1" fontId="25" fillId="0" borderId="20" xfId="0" applyNumberFormat="1" applyFont="1" applyBorder="1" applyAlignment="1">
      <alignment horizontal="center" wrapText="1"/>
    </xf>
    <xf numFmtId="1" fontId="24" fillId="0" borderId="22" xfId="0" applyNumberFormat="1" applyFont="1" applyBorder="1" applyAlignment="1">
      <alignment horizontal="center" wrapText="1"/>
    </xf>
    <xf numFmtId="1" fontId="24" fillId="0" borderId="20" xfId="0" applyNumberFormat="1" applyFont="1" applyBorder="1" applyAlignment="1">
      <alignment horizontal="center" wrapText="1"/>
    </xf>
    <xf numFmtId="1" fontId="3" fillId="0" borderId="22" xfId="0" applyNumberFormat="1" applyFont="1" applyBorder="1" applyAlignment="1">
      <alignment horizontal="center" wrapText="1"/>
    </xf>
    <xf numFmtId="1" fontId="22" fillId="0" borderId="22" xfId="0" applyNumberFormat="1" applyFont="1" applyBorder="1" applyAlignment="1">
      <alignment horizontal="center" wrapText="1"/>
    </xf>
    <xf numFmtId="0" fontId="0" fillId="0" borderId="20" xfId="0" applyBorder="1"/>
    <xf numFmtId="1" fontId="2" fillId="0" borderId="22" xfId="0" applyNumberFormat="1" applyFont="1" applyBorder="1" applyAlignment="1">
      <alignment horizontal="center" wrapText="1"/>
    </xf>
    <xf numFmtId="1" fontId="3" fillId="0" borderId="20" xfId="0" applyNumberFormat="1" applyFont="1" applyBorder="1" applyAlignment="1">
      <alignment horizontal="center" wrapText="1"/>
    </xf>
    <xf numFmtId="1" fontId="1" fillId="10" borderId="22" xfId="0" applyNumberFormat="1" applyFont="1" applyFill="1" applyBorder="1" applyAlignment="1">
      <alignment horizontal="center" wrapText="1"/>
    </xf>
    <xf numFmtId="1" fontId="20" fillId="10" borderId="20" xfId="0" applyNumberFormat="1" applyFont="1" applyFill="1" applyBorder="1" applyAlignment="1">
      <alignment horizontal="center" wrapText="1"/>
    </xf>
    <xf numFmtId="1" fontId="20" fillId="0" borderId="22" xfId="0" applyNumberFormat="1" applyFont="1" applyBorder="1" applyAlignment="1">
      <alignment horizontal="center" wrapText="1"/>
    </xf>
    <xf numFmtId="1" fontId="2" fillId="0" borderId="24" xfId="0" applyNumberFormat="1" applyFont="1" applyBorder="1" applyAlignment="1">
      <alignment horizontal="center" wrapText="1"/>
    </xf>
    <xf numFmtId="1" fontId="2" fillId="0" borderId="33" xfId="0" applyNumberFormat="1" applyFont="1" applyBorder="1" applyAlignment="1">
      <alignment horizontal="center" wrapText="1"/>
    </xf>
    <xf numFmtId="1" fontId="19" fillId="0" borderId="20" xfId="4" applyNumberFormat="1" applyFont="1" applyFill="1" applyBorder="1" applyAlignment="1" applyProtection="1">
      <alignment horizontal="center" wrapText="1"/>
    </xf>
    <xf numFmtId="1" fontId="19" fillId="0" borderId="24" xfId="4" applyNumberFormat="1" applyFont="1" applyFill="1" applyBorder="1" applyAlignment="1" applyProtection="1">
      <alignment horizontal="center" wrapText="1"/>
    </xf>
    <xf numFmtId="1" fontId="4" fillId="0" borderId="20" xfId="0" applyNumberFormat="1" applyFont="1" applyBorder="1" applyAlignment="1">
      <alignment horizontal="center" vertical="center" wrapText="1"/>
    </xf>
    <xf numFmtId="1" fontId="4" fillId="0" borderId="24" xfId="0" applyNumberFormat="1" applyFont="1" applyBorder="1" applyAlignment="1">
      <alignment horizontal="center" vertical="center" wrapText="1"/>
    </xf>
    <xf numFmtId="10" fontId="1" fillId="0" borderId="21" xfId="0" applyNumberFormat="1" applyFont="1" applyBorder="1" applyAlignment="1">
      <alignment horizontal="center" wrapText="1"/>
    </xf>
    <xf numFmtId="10" fontId="2" fillId="0" borderId="21" xfId="0" applyNumberFormat="1" applyFont="1" applyBorder="1" applyAlignment="1">
      <alignment horizontal="center" wrapText="1"/>
    </xf>
    <xf numFmtId="43" fontId="1" fillId="0" borderId="21" xfId="1" applyFont="1" applyFill="1" applyBorder="1" applyAlignment="1" applyProtection="1">
      <alignment horizontal="center" wrapText="1"/>
    </xf>
    <xf numFmtId="43" fontId="2" fillId="0" borderId="21" xfId="1" applyFont="1" applyFill="1" applyBorder="1" applyAlignment="1" applyProtection="1">
      <alignment horizontal="center" wrapText="1"/>
    </xf>
    <xf numFmtId="4" fontId="1" fillId="0" borderId="21" xfId="0" applyNumberFormat="1" applyFont="1" applyBorder="1" applyAlignment="1">
      <alignment horizontal="center" wrapText="1"/>
    </xf>
    <xf numFmtId="4" fontId="2" fillId="0" borderId="21" xfId="0" applyNumberFormat="1" applyFont="1" applyBorder="1" applyAlignment="1">
      <alignment horizontal="center" wrapText="1"/>
    </xf>
    <xf numFmtId="10" fontId="1" fillId="0" borderId="21" xfId="4" applyNumberFormat="1" applyFont="1" applyFill="1" applyBorder="1" applyAlignment="1" applyProtection="1">
      <alignment horizontal="center" wrapText="1"/>
    </xf>
    <xf numFmtId="10" fontId="2" fillId="0" borderId="21" xfId="4" applyNumberFormat="1" applyFont="1" applyFill="1" applyBorder="1" applyAlignment="1" applyProtection="1">
      <alignment horizontal="center" wrapText="1"/>
    </xf>
    <xf numFmtId="43" fontId="43" fillId="0" borderId="14" xfId="1" applyFont="1" applyFill="1" applyBorder="1" applyAlignment="1" applyProtection="1">
      <alignment horizontal="left"/>
    </xf>
    <xf numFmtId="43" fontId="43" fillId="0" borderId="15" xfId="1" applyFont="1" applyFill="1" applyBorder="1" applyAlignment="1" applyProtection="1">
      <alignment horizontal="left"/>
    </xf>
    <xf numFmtId="43" fontId="43" fillId="0" borderId="17" xfId="1" applyFont="1" applyFill="1" applyBorder="1" applyAlignment="1" applyProtection="1">
      <alignment horizontal="left"/>
    </xf>
    <xf numFmtId="43" fontId="43" fillId="0" borderId="1" xfId="1" applyFont="1" applyFill="1" applyBorder="1" applyAlignment="1" applyProtection="1">
      <alignment horizontal="left"/>
    </xf>
    <xf numFmtId="43" fontId="43" fillId="0" borderId="18" xfId="1" applyFont="1" applyFill="1" applyBorder="1" applyAlignment="1" applyProtection="1">
      <alignment horizontal="left"/>
    </xf>
    <xf numFmtId="10" fontId="1" fillId="0" borderId="17" xfId="4" applyNumberFormat="1" applyFont="1" applyFill="1" applyBorder="1" applyAlignment="1" applyProtection="1">
      <alignment horizontal="center" wrapText="1"/>
    </xf>
    <xf numFmtId="10" fontId="2" fillId="0" borderId="17" xfId="4" applyNumberFormat="1" applyFont="1" applyFill="1" applyBorder="1" applyAlignment="1" applyProtection="1">
      <alignment horizontal="center" wrapText="1"/>
    </xf>
    <xf numFmtId="1" fontId="0" fillId="0" borderId="13" xfId="0" applyNumberFormat="1" applyBorder="1" applyAlignment="1">
      <alignment horizontal="center" wrapText="1"/>
    </xf>
    <xf numFmtId="1" fontId="0" fillId="0" borderId="14" xfId="0" applyNumberFormat="1" applyBorder="1" applyAlignment="1">
      <alignment horizontal="center" wrapText="1"/>
    </xf>
    <xf numFmtId="1" fontId="1" fillId="0" borderId="24" xfId="0" applyNumberFormat="1" applyFont="1" applyBorder="1" applyAlignment="1">
      <alignment horizontal="left" vertical="top" wrapText="1"/>
    </xf>
    <xf numFmtId="1" fontId="1" fillId="0" borderId="33" xfId="0" applyNumberFormat="1" applyFont="1" applyBorder="1" applyAlignment="1">
      <alignment horizontal="left" vertical="top" wrapText="1"/>
    </xf>
    <xf numFmtId="1" fontId="21" fillId="0" borderId="20" xfId="4" applyNumberFormat="1" applyFont="1" applyFill="1" applyBorder="1" applyAlignment="1" applyProtection="1">
      <alignment horizontal="center" wrapText="1"/>
    </xf>
    <xf numFmtId="172" fontId="1" fillId="0" borderId="33" xfId="0" applyNumberFormat="1" applyFont="1" applyBorder="1" applyAlignment="1">
      <alignment horizont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Border="1" applyAlignment="1">
      <alignment horizontal="center" vertical="center"/>
    </xf>
    <xf numFmtId="0" fontId="4" fillId="0" borderId="18" xfId="0" applyFont="1" applyBorder="1" applyAlignment="1">
      <alignment horizontal="center" vertical="center"/>
    </xf>
    <xf numFmtId="1" fontId="3" fillId="0" borderId="33" xfId="0" applyNumberFormat="1" applyFont="1" applyBorder="1" applyAlignment="1">
      <alignment horizontal="center"/>
    </xf>
    <xf numFmtId="1" fontId="4" fillId="0" borderId="13" xfId="0" applyNumberFormat="1" applyFont="1" applyBorder="1" applyAlignment="1">
      <alignment horizontal="center" vertical="center"/>
    </xf>
    <xf numFmtId="1" fontId="4" fillId="0" borderId="14" xfId="0" applyNumberFormat="1" applyFont="1" applyBorder="1" applyAlignment="1">
      <alignment horizontal="center" vertical="center"/>
    </xf>
    <xf numFmtId="1" fontId="4" fillId="0" borderId="19" xfId="0" applyNumberFormat="1" applyFont="1" applyBorder="1" applyAlignment="1">
      <alignment horizontal="center" vertical="center"/>
    </xf>
    <xf numFmtId="1" fontId="4" fillId="0" borderId="1" xfId="0" applyNumberFormat="1" applyFont="1" applyBorder="1" applyAlignment="1">
      <alignment horizontal="center" vertical="center"/>
    </xf>
    <xf numFmtId="1" fontId="1" fillId="0" borderId="17" xfId="0" applyNumberFormat="1" applyFont="1" applyBorder="1" applyAlignment="1">
      <alignment horizontal="center" wrapText="1"/>
    </xf>
    <xf numFmtId="1" fontId="1" fillId="0" borderId="20" xfId="0" applyNumberFormat="1" applyFont="1" applyBorder="1" applyAlignment="1" applyProtection="1">
      <alignment horizontal="left" vertical="top" wrapText="1"/>
      <protection locked="0"/>
    </xf>
    <xf numFmtId="1" fontId="21" fillId="0" borderId="33" xfId="0" applyNumberFormat="1" applyFont="1" applyBorder="1" applyAlignment="1">
      <alignment horizontal="center" wrapText="1"/>
    </xf>
    <xf numFmtId="1" fontId="21" fillId="0" borderId="22" xfId="0" applyNumberFormat="1" applyFont="1" applyBorder="1" applyAlignment="1">
      <alignment horizontal="center" wrapText="1"/>
    </xf>
    <xf numFmtId="1" fontId="1" fillId="0" borderId="24" xfId="0" applyNumberFormat="1" applyFont="1" applyBorder="1" applyAlignment="1">
      <alignment horizontal="center" wrapText="1"/>
    </xf>
    <xf numFmtId="1" fontId="20" fillId="0" borderId="33" xfId="0" applyNumberFormat="1" applyFont="1" applyBorder="1" applyAlignment="1">
      <alignment horizontal="center" wrapText="1"/>
    </xf>
    <xf numFmtId="1" fontId="20" fillId="0" borderId="24" xfId="0" applyNumberFormat="1" applyFont="1" applyBorder="1" applyAlignment="1">
      <alignment horizontal="center" wrapText="1"/>
    </xf>
    <xf numFmtId="1" fontId="1" fillId="0" borderId="20" xfId="0" applyNumberFormat="1" applyFont="1" applyBorder="1" applyAlignment="1">
      <alignment horizontal="center" wrapText="1"/>
    </xf>
    <xf numFmtId="2" fontId="1" fillId="0" borderId="16" xfId="0" applyNumberFormat="1" applyFont="1" applyBorder="1" applyAlignment="1">
      <alignment horizontal="center"/>
    </xf>
    <xf numFmtId="2" fontId="2" fillId="0" borderId="16" xfId="0" applyNumberFormat="1" applyFont="1" applyBorder="1" applyAlignment="1">
      <alignment horizontal="center"/>
    </xf>
    <xf numFmtId="1" fontId="1" fillId="0" borderId="21" xfId="4" applyNumberFormat="1" applyFont="1" applyFill="1" applyBorder="1" applyAlignment="1" applyProtection="1">
      <alignment horizontal="center" wrapText="1"/>
    </xf>
    <xf numFmtId="1" fontId="2" fillId="0" borderId="21" xfId="4" applyNumberFormat="1" applyFont="1" applyFill="1" applyBorder="1" applyAlignment="1" applyProtection="1">
      <alignment horizontal="center" wrapText="1"/>
    </xf>
    <xf numFmtId="1" fontId="4" fillId="0" borderId="14" xfId="0" applyNumberFormat="1" applyFont="1" applyBorder="1" applyAlignment="1">
      <alignment horizontal="center" vertical="center" wrapText="1"/>
    </xf>
    <xf numFmtId="1" fontId="4" fillId="0" borderId="1" xfId="0" applyNumberFormat="1" applyFont="1" applyBorder="1" applyAlignment="1">
      <alignment horizontal="center" vertical="center" wrapText="1"/>
    </xf>
    <xf numFmtId="0" fontId="44" fillId="0" borderId="14" xfId="0" applyFont="1" applyBorder="1" applyAlignment="1">
      <alignment horizontal="center" vertical="center"/>
    </xf>
    <xf numFmtId="0" fontId="44" fillId="0" borderId="1" xfId="0" applyFont="1" applyBorder="1" applyAlignment="1">
      <alignment horizontal="center" vertical="center"/>
    </xf>
    <xf numFmtId="1" fontId="20" fillId="0" borderId="20" xfId="0" applyNumberFormat="1" applyFont="1" applyBorder="1" applyAlignment="1" applyProtection="1">
      <alignment horizontal="center" vertical="top" wrapText="1"/>
      <protection locked="0"/>
    </xf>
    <xf numFmtId="1" fontId="20" fillId="0" borderId="24" xfId="0" applyNumberFormat="1" applyFont="1" applyBorder="1" applyAlignment="1" applyProtection="1">
      <alignment horizontal="center" vertical="top" wrapText="1"/>
      <protection locked="0"/>
    </xf>
    <xf numFmtId="0" fontId="18" fillId="0" borderId="0" xfId="0" applyFont="1" applyAlignment="1">
      <alignment horizontal="center"/>
    </xf>
    <xf numFmtId="3" fontId="14" fillId="0" borderId="1" xfId="0" applyNumberFormat="1" applyFont="1" applyBorder="1" applyAlignment="1">
      <alignment horizontal="center" wrapText="1"/>
    </xf>
    <xf numFmtId="0" fontId="14" fillId="0" borderId="1" xfId="0" applyFont="1" applyBorder="1" applyAlignment="1" applyProtection="1">
      <alignment horizontal="center"/>
      <protection locked="0"/>
    </xf>
    <xf numFmtId="0" fontId="46" fillId="0" borderId="0" xfId="0" applyFont="1" applyAlignment="1">
      <alignment horizontal="center"/>
    </xf>
    <xf numFmtId="14" fontId="0" fillId="0" borderId="0" xfId="0" applyNumberFormat="1" applyAlignment="1" applyProtection="1">
      <alignment horizontal="left"/>
      <protection locked="0"/>
    </xf>
    <xf numFmtId="0" fontId="0" fillId="0" borderId="0" xfId="0" applyAlignment="1" applyProtection="1">
      <alignment horizontal="left"/>
      <protection locked="0"/>
    </xf>
    <xf numFmtId="0" fontId="0" fillId="0" borderId="1" xfId="0" applyBorder="1" applyAlignment="1" applyProtection="1">
      <alignment horizontal="left"/>
      <protection locked="0"/>
    </xf>
    <xf numFmtId="0" fontId="0" fillId="0" borderId="0" xfId="0" applyAlignment="1">
      <alignment horizontal="left"/>
    </xf>
    <xf numFmtId="0" fontId="0" fillId="0" borderId="1" xfId="0" applyBorder="1" applyAlignment="1">
      <alignment horizontal="left"/>
    </xf>
    <xf numFmtId="1" fontId="13" fillId="0" borderId="1" xfId="0" applyNumberFormat="1" applyFont="1" applyBorder="1" applyAlignment="1">
      <alignment horizontal="left"/>
    </xf>
    <xf numFmtId="1" fontId="3" fillId="0" borderId="1" xfId="0" applyNumberFormat="1" applyFont="1" applyBorder="1" applyAlignment="1">
      <alignment horizontal="center"/>
    </xf>
    <xf numFmtId="0" fontId="3" fillId="0" borderId="1" xfId="0" applyFont="1" applyBorder="1" applyAlignment="1">
      <alignment horizontal="center"/>
    </xf>
    <xf numFmtId="0" fontId="47" fillId="0" borderId="0" xfId="0" applyFont="1" applyAlignment="1">
      <alignment horizontal="center"/>
    </xf>
    <xf numFmtId="0" fontId="18" fillId="0" borderId="14" xfId="0" applyFont="1" applyBorder="1" applyAlignment="1">
      <alignment horizontal="center"/>
    </xf>
    <xf numFmtId="165" fontId="1" fillId="0" borderId="0" xfId="1" applyNumberFormat="1" applyFont="1" applyAlignment="1" applyProtection="1">
      <alignment horizontal="right"/>
    </xf>
    <xf numFmtId="165" fontId="0" fillId="0" borderId="0" xfId="1" applyNumberFormat="1" applyFont="1" applyAlignment="1" applyProtection="1">
      <alignment horizontal="right"/>
    </xf>
    <xf numFmtId="165" fontId="0" fillId="0" borderId="0" xfId="1" applyNumberFormat="1" applyFont="1" applyAlignment="1" applyProtection="1">
      <alignment horizontal="center"/>
    </xf>
    <xf numFmtId="0" fontId="45" fillId="0" borderId="0" xfId="0" applyFont="1" applyAlignment="1">
      <alignment horizontal="center"/>
    </xf>
    <xf numFmtId="0" fontId="0" fillId="0" borderId="0" xfId="0" quotePrefix="1" applyAlignment="1">
      <alignment horizontal="left"/>
    </xf>
    <xf numFmtId="0" fontId="0" fillId="0" borderId="0" xfId="0" applyAlignment="1">
      <alignment horizontal="left" wrapText="1"/>
    </xf>
    <xf numFmtId="0" fontId="3" fillId="0" borderId="0" xfId="0" applyFont="1" applyAlignment="1">
      <alignment horizontal="left"/>
    </xf>
    <xf numFmtId="49" fontId="0" fillId="0" borderId="0" xfId="0" quotePrefix="1" applyNumberFormat="1" applyAlignment="1">
      <alignment horizontal="left"/>
    </xf>
    <xf numFmtId="0" fontId="8" fillId="0" borderId="0" xfId="0" applyFont="1" applyAlignment="1">
      <alignment horizontal="center"/>
    </xf>
    <xf numFmtId="0" fontId="0" fillId="0" borderId="14" xfId="0" applyBorder="1" applyAlignment="1">
      <alignment horizontal="center"/>
    </xf>
    <xf numFmtId="0" fontId="2" fillId="0" borderId="0" xfId="0" quotePrefix="1" applyFont="1" applyAlignment="1">
      <alignment horizontal="left"/>
    </xf>
    <xf numFmtId="0" fontId="0" fillId="0" borderId="0" xfId="0" quotePrefix="1" applyAlignment="1">
      <alignment horizontal="left" wrapText="1"/>
    </xf>
    <xf numFmtId="0" fontId="1" fillId="0" borderId="0" xfId="0" applyFont="1" applyAlignment="1">
      <alignment horizontal="left"/>
    </xf>
    <xf numFmtId="0" fontId="0" fillId="0" borderId="1" xfId="0" applyBorder="1" applyAlignment="1" applyProtection="1">
      <alignment horizontal="center"/>
      <protection locked="0"/>
    </xf>
    <xf numFmtId="3" fontId="1" fillId="0" borderId="1" xfId="3" applyNumberFormat="1" applyFont="1" applyBorder="1" applyAlignment="1" applyProtection="1">
      <alignment horizontal="center" wrapText="1"/>
      <protection locked="0"/>
    </xf>
    <xf numFmtId="0" fontId="1" fillId="0" borderId="1" xfId="3" applyFont="1" applyBorder="1" applyAlignment="1" applyProtection="1">
      <alignment horizontal="center" wrapText="1"/>
      <protection locked="0"/>
    </xf>
    <xf numFmtId="0" fontId="1" fillId="0" borderId="1" xfId="0" applyFont="1" applyBorder="1" applyAlignment="1" applyProtection="1">
      <alignment horizontal="center"/>
      <protection locked="0"/>
    </xf>
    <xf numFmtId="167" fontId="0" fillId="0" borderId="1" xfId="0" applyNumberFormat="1" applyBorder="1" applyAlignment="1" applyProtection="1">
      <alignment horizontal="center"/>
      <protection locked="0"/>
    </xf>
    <xf numFmtId="167" fontId="1" fillId="0" borderId="1" xfId="0" applyNumberFormat="1" applyFont="1" applyBorder="1" applyAlignment="1" applyProtection="1">
      <alignment horizontal="center"/>
      <protection locked="0"/>
    </xf>
    <xf numFmtId="0" fontId="2" fillId="0" borderId="0" xfId="0" applyFont="1" applyAlignment="1">
      <alignment horizontal="center"/>
    </xf>
    <xf numFmtId="3" fontId="0" fillId="0" borderId="1" xfId="0" applyNumberFormat="1" applyBorder="1" applyAlignment="1" applyProtection="1">
      <alignment horizontal="center"/>
      <protection locked="0"/>
    </xf>
    <xf numFmtId="0" fontId="0" fillId="0" borderId="14" xfId="0" applyBorder="1" applyAlignment="1">
      <alignment horizontal="center" vertical="top" wrapText="1"/>
    </xf>
    <xf numFmtId="0" fontId="1" fillId="0" borderId="14" xfId="0" applyFont="1" applyBorder="1" applyAlignment="1">
      <alignment horizontal="center" vertical="top" wrapText="1"/>
    </xf>
    <xf numFmtId="172" fontId="1" fillId="0" borderId="0" xfId="0" applyNumberFormat="1" applyFont="1" applyAlignment="1">
      <alignment horizontal="center"/>
    </xf>
    <xf numFmtId="166" fontId="9" fillId="0" borderId="1" xfId="0" applyNumberFormat="1" applyFont="1" applyBorder="1" applyAlignment="1">
      <alignment horizontal="center"/>
    </xf>
    <xf numFmtId="0" fontId="9" fillId="0" borderId="1" xfId="0" applyFont="1" applyBorder="1" applyAlignment="1">
      <alignment horizontal="center"/>
    </xf>
    <xf numFmtId="0" fontId="9" fillId="0" borderId="35" xfId="0" applyFont="1" applyBorder="1" applyAlignment="1" applyProtection="1">
      <alignment horizontal="left" vertical="top" wrapText="1"/>
      <protection locked="0"/>
    </xf>
    <xf numFmtId="0" fontId="9" fillId="0" borderId="36" xfId="0" applyFont="1" applyBorder="1" applyAlignment="1" applyProtection="1">
      <alignment horizontal="left"/>
      <protection locked="0"/>
    </xf>
    <xf numFmtId="0" fontId="9" fillId="0" borderId="37" xfId="0" applyFont="1" applyBorder="1" applyAlignment="1" applyProtection="1">
      <alignment horizontal="left"/>
      <protection locked="0"/>
    </xf>
    <xf numFmtId="0" fontId="9" fillId="0" borderId="36" xfId="0" applyFont="1" applyBorder="1" applyAlignment="1" applyProtection="1">
      <alignment horizontal="left" vertical="top" wrapText="1"/>
      <protection locked="0"/>
    </xf>
    <xf numFmtId="0" fontId="9" fillId="0" borderId="37" xfId="0" applyFont="1" applyBorder="1" applyAlignment="1" applyProtection="1">
      <alignment horizontal="left" vertical="top" wrapText="1"/>
      <protection locked="0"/>
    </xf>
    <xf numFmtId="0" fontId="10" fillId="0" borderId="0" xfId="0" applyFont="1" applyAlignment="1">
      <alignment horizontal="center"/>
    </xf>
    <xf numFmtId="0" fontId="9" fillId="0" borderId="41" xfId="0" applyFont="1" applyBorder="1" applyAlignment="1">
      <alignment horizontal="center" vertical="top" wrapText="1"/>
    </xf>
    <xf numFmtId="0" fontId="9" fillId="0" borderId="1" xfId="0" applyFont="1" applyBorder="1" applyAlignment="1">
      <alignment horizontal="center" vertical="top" wrapText="1"/>
    </xf>
    <xf numFmtId="0" fontId="9" fillId="0" borderId="42" xfId="0" applyFont="1" applyBorder="1" applyAlignment="1">
      <alignment horizontal="center" vertical="top" wrapText="1"/>
    </xf>
    <xf numFmtId="0" fontId="9" fillId="0" borderId="43" xfId="0" applyFont="1" applyBorder="1" applyAlignment="1" applyProtection="1">
      <alignment horizontal="left" vertical="top"/>
      <protection locked="0"/>
    </xf>
    <xf numFmtId="0" fontId="9" fillId="0" borderId="44" xfId="0" applyFont="1" applyBorder="1" applyAlignment="1" applyProtection="1">
      <alignment horizontal="left" vertical="top"/>
      <protection locked="0"/>
    </xf>
    <xf numFmtId="0" fontId="9" fillId="0" borderId="45" xfId="0" applyFont="1" applyBorder="1" applyAlignment="1" applyProtection="1">
      <alignment horizontal="left" vertical="top"/>
      <protection locked="0"/>
    </xf>
    <xf numFmtId="0" fontId="36" fillId="0" borderId="0" xfId="0" applyFont="1" applyAlignment="1">
      <alignment horizontal="center"/>
    </xf>
    <xf numFmtId="3" fontId="64" fillId="0" borderId="1" xfId="0" applyNumberFormat="1" applyFont="1" applyBorder="1" applyAlignment="1">
      <alignment horizontal="left"/>
    </xf>
    <xf numFmtId="0" fontId="64" fillId="0" borderId="1" xfId="0" applyFont="1" applyBorder="1" applyAlignment="1">
      <alignment horizontal="left"/>
    </xf>
    <xf numFmtId="0" fontId="9" fillId="0" borderId="0" xfId="0" applyFont="1" applyAlignment="1">
      <alignment horizontal="center"/>
    </xf>
    <xf numFmtId="0" fontId="9" fillId="0" borderId="0" xfId="0" applyFont="1" applyAlignment="1">
      <alignment horizontal="left" wrapText="1"/>
    </xf>
    <xf numFmtId="0" fontId="7" fillId="0" borderId="0" xfId="3" applyFill="1" applyAlignment="1" applyProtection="1">
      <alignment vertical="top" wrapText="1"/>
    </xf>
    <xf numFmtId="0" fontId="9" fillId="2" borderId="38" xfId="0" applyFont="1" applyFill="1" applyBorder="1" applyAlignment="1">
      <alignment horizontal="center" vertical="top" wrapText="1"/>
    </xf>
    <xf numFmtId="0" fontId="9" fillId="2" borderId="39" xfId="0" applyFont="1" applyFill="1" applyBorder="1" applyAlignment="1">
      <alignment horizontal="center" vertical="top" wrapText="1"/>
    </xf>
    <xf numFmtId="0" fontId="9" fillId="2" borderId="40" xfId="0" applyFont="1" applyFill="1" applyBorder="1" applyAlignment="1">
      <alignment horizontal="center" vertical="top" wrapText="1"/>
    </xf>
    <xf numFmtId="0" fontId="9" fillId="0" borderId="0" xfId="0" applyFont="1" applyAlignment="1">
      <alignment horizontal="left"/>
    </xf>
    <xf numFmtId="0" fontId="10" fillId="0" borderId="1" xfId="0" applyFont="1" applyBorder="1" applyAlignment="1" applyProtection="1">
      <alignment horizontal="center"/>
      <protection locked="0"/>
    </xf>
    <xf numFmtId="3" fontId="9" fillId="0" borderId="1" xfId="0" applyNumberFormat="1" applyFont="1" applyBorder="1" applyAlignment="1">
      <alignment horizontal="center" wrapText="1"/>
    </xf>
    <xf numFmtId="0" fontId="10" fillId="0" borderId="14" xfId="0" applyFont="1" applyBorder="1" applyAlignment="1">
      <alignment horizontal="center"/>
    </xf>
    <xf numFmtId="0" fontId="9" fillId="0" borderId="14" xfId="0" applyFont="1" applyBorder="1" applyAlignment="1">
      <alignment horizontal="center"/>
    </xf>
    <xf numFmtId="167" fontId="9" fillId="0" borderId="1" xfId="0" applyNumberFormat="1" applyFont="1" applyBorder="1" applyAlignment="1" applyProtection="1">
      <alignment horizontal="center"/>
      <protection locked="0"/>
    </xf>
    <xf numFmtId="172" fontId="3" fillId="0" borderId="33" xfId="0" applyNumberFormat="1" applyFont="1" applyBorder="1" applyAlignment="1">
      <alignment horizontal="center"/>
    </xf>
    <xf numFmtId="172" fontId="3" fillId="0" borderId="22" xfId="0" applyNumberFormat="1" applyFont="1" applyBorder="1" applyAlignment="1">
      <alignment horizontal="center"/>
    </xf>
    <xf numFmtId="10" fontId="2" fillId="0" borderId="25" xfId="4" applyNumberFormat="1" applyFont="1" applyFill="1" applyBorder="1" applyAlignment="1" applyProtection="1">
      <alignment horizontal="center" wrapText="1"/>
    </xf>
    <xf numFmtId="10" fontId="2" fillId="0" borderId="23" xfId="4" applyNumberFormat="1" applyFont="1" applyFill="1" applyBorder="1" applyAlignment="1" applyProtection="1">
      <alignment horizontal="center" wrapText="1"/>
    </xf>
    <xf numFmtId="10" fontId="2" fillId="0" borderId="25" xfId="0" applyNumberFormat="1" applyFont="1" applyBorder="1" applyAlignment="1">
      <alignment horizontal="center" wrapText="1"/>
    </xf>
    <xf numFmtId="10" fontId="2" fillId="0" borderId="23" xfId="0" applyNumberFormat="1" applyFont="1" applyBorder="1" applyAlignment="1">
      <alignment horizontal="center" wrapText="1"/>
    </xf>
    <xf numFmtId="43" fontId="2" fillId="0" borderId="25" xfId="1" applyFont="1" applyFill="1" applyBorder="1" applyAlignment="1" applyProtection="1">
      <alignment horizontal="center" wrapText="1"/>
    </xf>
    <xf numFmtId="43" fontId="2" fillId="0" borderId="23" xfId="1" applyFont="1" applyFill="1" applyBorder="1" applyAlignment="1" applyProtection="1">
      <alignment horizontal="center" wrapText="1"/>
    </xf>
    <xf numFmtId="43" fontId="2" fillId="0" borderId="25" xfId="1" applyFont="1" applyFill="1" applyBorder="1" applyAlignment="1" applyProtection="1">
      <alignment horizontal="center"/>
    </xf>
    <xf numFmtId="43" fontId="2" fillId="0" borderId="21" xfId="1" applyFont="1" applyFill="1" applyBorder="1" applyAlignment="1" applyProtection="1">
      <alignment horizontal="center"/>
    </xf>
    <xf numFmtId="43" fontId="2" fillId="0" borderId="23" xfId="1" applyFont="1" applyFill="1" applyBorder="1" applyAlignment="1" applyProtection="1">
      <alignment horizontal="center"/>
    </xf>
    <xf numFmtId="1" fontId="19" fillId="0" borderId="13" xfId="4" applyNumberFormat="1" applyFont="1" applyFill="1" applyBorder="1" applyAlignment="1" applyProtection="1">
      <alignment horizontal="center" wrapText="1"/>
    </xf>
    <xf numFmtId="1" fontId="19" fillId="0" borderId="14" xfId="4" applyNumberFormat="1" applyFont="1" applyFill="1" applyBorder="1" applyAlignment="1" applyProtection="1">
      <alignment horizontal="center" wrapText="1"/>
    </xf>
    <xf numFmtId="1" fontId="19" fillId="0" borderId="15" xfId="4" applyNumberFormat="1" applyFont="1" applyFill="1" applyBorder="1" applyAlignment="1" applyProtection="1">
      <alignment horizontal="center" wrapText="1"/>
    </xf>
    <xf numFmtId="1" fontId="19" fillId="0" borderId="16" xfId="4" applyNumberFormat="1" applyFont="1" applyFill="1" applyBorder="1" applyAlignment="1" applyProtection="1">
      <alignment horizontal="center" wrapText="1"/>
    </xf>
    <xf numFmtId="1" fontId="19" fillId="0" borderId="0" xfId="4" applyNumberFormat="1" applyFont="1" applyFill="1" applyBorder="1" applyAlignment="1" applyProtection="1">
      <alignment horizontal="center" wrapText="1"/>
    </xf>
    <xf numFmtId="1" fontId="19" fillId="0" borderId="17" xfId="4" applyNumberFormat="1" applyFont="1" applyFill="1" applyBorder="1" applyAlignment="1" applyProtection="1">
      <alignment horizontal="center" wrapText="1"/>
    </xf>
    <xf numFmtId="1" fontId="19" fillId="0" borderId="19" xfId="4" applyNumberFormat="1" applyFont="1" applyFill="1" applyBorder="1" applyAlignment="1" applyProtection="1">
      <alignment horizontal="center" wrapText="1"/>
    </xf>
    <xf numFmtId="1" fontId="19" fillId="0" borderId="1" xfId="4" applyNumberFormat="1" applyFont="1" applyFill="1" applyBorder="1" applyAlignment="1" applyProtection="1">
      <alignment horizontal="center" wrapText="1"/>
    </xf>
    <xf numFmtId="1" fontId="19" fillId="0" borderId="18" xfId="4" applyNumberFormat="1" applyFont="1" applyFill="1" applyBorder="1" applyAlignment="1" applyProtection="1">
      <alignment horizontal="center" wrapText="1"/>
    </xf>
    <xf numFmtId="1" fontId="2" fillId="0" borderId="13" xfId="0" applyNumberFormat="1" applyFont="1" applyBorder="1" applyAlignment="1">
      <alignment horizontal="center" wrapText="1"/>
    </xf>
    <xf numFmtId="1" fontId="2" fillId="0" borderId="14" xfId="0" applyNumberFormat="1" applyFont="1" applyBorder="1" applyAlignment="1">
      <alignment horizontal="center" wrapText="1"/>
    </xf>
    <xf numFmtId="1" fontId="4" fillId="0" borderId="16" xfId="0" applyNumberFormat="1" applyFont="1" applyBorder="1" applyAlignment="1">
      <alignment horizontal="center" vertical="center" wrapText="1"/>
    </xf>
    <xf numFmtId="1" fontId="4" fillId="0" borderId="0" xfId="0" applyNumberFormat="1" applyFont="1" applyAlignment="1">
      <alignment horizontal="center" vertical="center" wrapText="1"/>
    </xf>
    <xf numFmtId="1" fontId="2" fillId="0" borderId="25" xfId="4" applyNumberFormat="1" applyFont="1" applyFill="1" applyBorder="1" applyAlignment="1" applyProtection="1">
      <alignment horizontal="center" wrapText="1"/>
    </xf>
    <xf numFmtId="1" fontId="2" fillId="0" borderId="23" xfId="4" applyNumberFormat="1" applyFont="1" applyFill="1" applyBorder="1" applyAlignment="1" applyProtection="1">
      <alignment horizontal="center" wrapText="1"/>
    </xf>
    <xf numFmtId="1" fontId="42" fillId="0" borderId="24" xfId="0" applyNumberFormat="1" applyFont="1" applyBorder="1" applyAlignment="1">
      <alignment horizontal="right" wrapText="1"/>
    </xf>
    <xf numFmtId="1" fontId="42" fillId="0" borderId="22" xfId="0" applyNumberFormat="1" applyFont="1" applyBorder="1" applyAlignment="1">
      <alignment horizontal="right" wrapText="1"/>
    </xf>
    <xf numFmtId="1" fontId="2" fillId="0" borderId="33" xfId="0" applyNumberFormat="1" applyFont="1" applyBorder="1" applyAlignment="1">
      <alignment horizontal="left" vertical="top" wrapText="1"/>
    </xf>
    <xf numFmtId="43" fontId="20" fillId="0" borderId="20" xfId="1" applyFont="1" applyFill="1" applyBorder="1" applyAlignment="1" applyProtection="1">
      <alignment horizontal="left" vertical="top" wrapText="1"/>
      <protection locked="0"/>
    </xf>
    <xf numFmtId="43" fontId="20" fillId="0" borderId="24" xfId="1" applyFont="1" applyFill="1" applyBorder="1" applyAlignment="1" applyProtection="1">
      <alignment horizontal="left" vertical="top" wrapText="1"/>
      <protection locked="0"/>
    </xf>
    <xf numFmtId="170" fontId="20" fillId="0" borderId="20" xfId="1" applyNumberFormat="1" applyFont="1" applyFill="1" applyBorder="1" applyAlignment="1" applyProtection="1">
      <alignment horizontal="center"/>
    </xf>
    <xf numFmtId="1" fontId="12" fillId="0" borderId="22" xfId="0" applyNumberFormat="1" applyFont="1" applyBorder="1" applyAlignment="1">
      <alignment horizontal="center" wrapText="1"/>
    </xf>
    <xf numFmtId="1" fontId="12" fillId="0" borderId="20" xfId="0" applyNumberFormat="1" applyFont="1" applyBorder="1" applyAlignment="1">
      <alignment horizontal="center" wrapText="1"/>
    </xf>
    <xf numFmtId="1" fontId="21" fillId="0" borderId="24" xfId="0" applyNumberFormat="1" applyFont="1" applyBorder="1" applyAlignment="1">
      <alignment horizontal="left" wrapText="1"/>
    </xf>
    <xf numFmtId="1" fontId="21" fillId="0" borderId="33" xfId="0" applyNumberFormat="1" applyFont="1" applyBorder="1" applyAlignment="1">
      <alignment horizontal="left" wrapText="1"/>
    </xf>
    <xf numFmtId="1" fontId="20" fillId="0" borderId="20" xfId="0" applyNumberFormat="1" applyFont="1" applyBorder="1" applyAlignment="1">
      <alignment horizontal="left" wrapText="1"/>
    </xf>
    <xf numFmtId="1" fontId="20" fillId="0" borderId="24" xfId="0" applyNumberFormat="1" applyFont="1" applyBorder="1" applyAlignment="1">
      <alignment horizontal="left" wrapText="1"/>
    </xf>
    <xf numFmtId="1" fontId="1" fillId="0" borderId="15" xfId="0" applyNumberFormat="1" applyFont="1" applyBorder="1" applyAlignment="1">
      <alignment horizontal="center" wrapText="1"/>
    </xf>
    <xf numFmtId="1" fontId="1" fillId="0" borderId="18" xfId="0" applyNumberFormat="1" applyFont="1" applyBorder="1" applyAlignment="1">
      <alignment horizontal="center" wrapText="1"/>
    </xf>
    <xf numFmtId="4" fontId="2" fillId="0" borderId="25" xfId="0" applyNumberFormat="1" applyFont="1" applyBorder="1" applyAlignment="1">
      <alignment horizontal="center" wrapText="1"/>
    </xf>
    <xf numFmtId="4" fontId="2" fillId="0" borderId="23" xfId="0" applyNumberFormat="1" applyFont="1" applyBorder="1" applyAlignment="1">
      <alignment horizontal="center" wrapText="1"/>
    </xf>
    <xf numFmtId="1" fontId="20" fillId="0" borderId="33" xfId="0" applyNumberFormat="1" applyFont="1" applyBorder="1" applyAlignment="1">
      <alignment horizontal="left" wrapText="1"/>
    </xf>
    <xf numFmtId="3" fontId="0" fillId="0" borderId="1" xfId="0" applyNumberFormat="1" applyBorder="1" applyAlignment="1">
      <alignment horizontal="center" wrapText="1"/>
    </xf>
    <xf numFmtId="0" fontId="0" fillId="0" borderId="1" xfId="0" applyBorder="1" applyAlignment="1">
      <alignment horizontal="center" wrapText="1"/>
    </xf>
    <xf numFmtId="0" fontId="2" fillId="0" borderId="1" xfId="0" applyFont="1" applyBorder="1" applyAlignment="1" applyProtection="1">
      <alignment horizontal="center"/>
      <protection locked="0"/>
    </xf>
    <xf numFmtId="167" fontId="2" fillId="0" borderId="1" xfId="0" applyNumberFormat="1" applyFont="1" applyBorder="1" applyAlignment="1" applyProtection="1">
      <alignment horizontal="center"/>
      <protection locked="0"/>
    </xf>
    <xf numFmtId="3" fontId="0" fillId="0" borderId="1" xfId="0" applyNumberFormat="1" applyBorder="1" applyAlignment="1">
      <alignment horizontal="center"/>
    </xf>
    <xf numFmtId="0" fontId="0" fillId="0" borderId="0" xfId="0" applyAlignment="1">
      <alignment horizontal="center" vertical="top" wrapText="1"/>
    </xf>
    <xf numFmtId="167" fontId="0" fillId="0" borderId="0" xfId="0" applyNumberFormat="1" applyAlignment="1">
      <alignment horizontal="center"/>
    </xf>
    <xf numFmtId="0" fontId="48" fillId="0" borderId="0" xfId="0" applyFont="1" applyAlignment="1">
      <alignment horizontal="center"/>
    </xf>
    <xf numFmtId="167" fontId="14" fillId="0" borderId="1" xfId="0" applyNumberFormat="1" applyFont="1" applyBorder="1" applyAlignment="1" applyProtection="1">
      <alignment horizontal="center"/>
      <protection locked="0"/>
    </xf>
    <xf numFmtId="3" fontId="14" fillId="0" borderId="33" xfId="0" applyNumberFormat="1" applyFont="1" applyBorder="1" applyAlignment="1">
      <alignment horizontal="center" wrapText="1"/>
    </xf>
    <xf numFmtId="0" fontId="14" fillId="0" borderId="33" xfId="0" applyFont="1" applyBorder="1" applyAlignment="1" applyProtection="1">
      <alignment horizontal="center"/>
      <protection locked="0"/>
    </xf>
    <xf numFmtId="0" fontId="49" fillId="0" borderId="0" xfId="0" applyFont="1" applyAlignment="1">
      <alignment horizontal="center"/>
    </xf>
    <xf numFmtId="0" fontId="50" fillId="0" borderId="0" xfId="0" applyFont="1" applyAlignment="1">
      <alignment horizontal="center"/>
    </xf>
    <xf numFmtId="172" fontId="0" fillId="0" borderId="0" xfId="0" applyNumberFormat="1" applyAlignment="1">
      <alignment horizontal="center"/>
    </xf>
    <xf numFmtId="43" fontId="43" fillId="0" borderId="0" xfId="1" quotePrefix="1" applyFont="1" applyFill="1" applyBorder="1" applyAlignment="1" applyProtection="1"/>
    <xf numFmtId="0" fontId="9" fillId="0" borderId="1" xfId="0" applyFont="1" applyBorder="1" applyAlignment="1" applyProtection="1">
      <alignment horizontal="center"/>
      <protection locked="0"/>
    </xf>
    <xf numFmtId="0" fontId="7" fillId="0" borderId="0" xfId="3" applyFill="1" applyAlignment="1" applyProtection="1">
      <alignment horizontal="left" vertical="top" wrapText="1"/>
    </xf>
    <xf numFmtId="0" fontId="37" fillId="0" borderId="0" xfId="0" applyFont="1" applyAlignment="1">
      <alignment horizontal="center"/>
    </xf>
    <xf numFmtId="43" fontId="20" fillId="0" borderId="24" xfId="1" applyFont="1" applyFill="1" applyBorder="1" applyAlignment="1" applyProtection="1">
      <alignment horizontal="center"/>
    </xf>
    <xf numFmtId="43" fontId="20" fillId="0" borderId="22" xfId="1" applyFont="1" applyFill="1" applyBorder="1" applyAlignment="1" applyProtection="1">
      <alignment horizontal="center"/>
    </xf>
    <xf numFmtId="1" fontId="0" fillId="0" borderId="33" xfId="0" applyNumberFormat="1" applyBorder="1" applyAlignment="1">
      <alignment horizontal="center"/>
    </xf>
    <xf numFmtId="1" fontId="2" fillId="0" borderId="25" xfId="0" applyNumberFormat="1" applyFont="1" applyBorder="1" applyAlignment="1">
      <alignment horizontal="center" wrapText="1"/>
    </xf>
    <xf numFmtId="1" fontId="2" fillId="0" borderId="21" xfId="0" applyNumberFormat="1" applyFont="1" applyBorder="1" applyAlignment="1">
      <alignment horizontal="center" wrapText="1"/>
    </xf>
    <xf numFmtId="1" fontId="2" fillId="0" borderId="23" xfId="0" applyNumberFormat="1" applyFont="1" applyBorder="1" applyAlignment="1">
      <alignment horizontal="center" wrapText="1"/>
    </xf>
    <xf numFmtId="1" fontId="20" fillId="0" borderId="17" xfId="0" applyNumberFormat="1" applyFont="1" applyBorder="1" applyAlignment="1">
      <alignment horizontal="center" wrapText="1"/>
    </xf>
    <xf numFmtId="1" fontId="20" fillId="0" borderId="18" xfId="0" applyNumberFormat="1" applyFont="1" applyBorder="1" applyAlignment="1">
      <alignment horizontal="center" wrapText="1"/>
    </xf>
    <xf numFmtId="43" fontId="20" fillId="0" borderId="20" xfId="1" applyFont="1" applyFill="1" applyBorder="1" applyAlignment="1" applyProtection="1">
      <alignment horizontal="center"/>
    </xf>
    <xf numFmtId="165" fontId="20" fillId="0" borderId="20" xfId="1" applyNumberFormat="1" applyFont="1" applyFill="1" applyBorder="1" applyAlignment="1" applyProtection="1">
      <alignment horizontal="center"/>
    </xf>
    <xf numFmtId="1" fontId="12" fillId="0" borderId="20" xfId="0" applyNumberFormat="1" applyFont="1" applyBorder="1" applyAlignment="1" applyProtection="1">
      <alignment horizontal="center" wrapText="1"/>
      <protection locked="0"/>
    </xf>
    <xf numFmtId="165" fontId="21" fillId="0" borderId="20" xfId="1" applyNumberFormat="1" applyFont="1" applyFill="1" applyBorder="1" applyAlignment="1" applyProtection="1">
      <alignment horizontal="center"/>
    </xf>
    <xf numFmtId="1" fontId="0" fillId="0" borderId="20" xfId="0" applyNumberFormat="1" applyBorder="1" applyAlignment="1" applyProtection="1">
      <alignment horizontal="center" wrapText="1"/>
      <protection locked="0"/>
    </xf>
    <xf numFmtId="43" fontId="0" fillId="0" borderId="13" xfId="1" applyFont="1" applyFill="1" applyBorder="1" applyAlignment="1" applyProtection="1">
      <alignment horizontal="left" vertical="top" wrapText="1"/>
      <protection locked="0"/>
    </xf>
    <xf numFmtId="43" fontId="20" fillId="0" borderId="14" xfId="1" applyFont="1" applyFill="1" applyBorder="1" applyAlignment="1" applyProtection="1">
      <alignment horizontal="left" vertical="top" wrapText="1"/>
      <protection locked="0"/>
    </xf>
    <xf numFmtId="43" fontId="20" fillId="0" borderId="16" xfId="1" applyFont="1" applyFill="1" applyBorder="1" applyAlignment="1" applyProtection="1">
      <alignment horizontal="left" vertical="top" wrapText="1"/>
      <protection locked="0"/>
    </xf>
    <xf numFmtId="43" fontId="20" fillId="0" borderId="0" xfId="1" applyFont="1" applyFill="1" applyBorder="1" applyAlignment="1" applyProtection="1">
      <alignment horizontal="left" vertical="top" wrapText="1"/>
      <protection locked="0"/>
    </xf>
    <xf numFmtId="43" fontId="20" fillId="0" borderId="19" xfId="1" applyFont="1" applyFill="1" applyBorder="1" applyAlignment="1" applyProtection="1">
      <alignment horizontal="left" vertical="top" wrapText="1"/>
      <protection locked="0"/>
    </xf>
    <xf numFmtId="43" fontId="20" fillId="0" borderId="1" xfId="1" applyFont="1" applyFill="1" applyBorder="1" applyAlignment="1" applyProtection="1">
      <alignment horizontal="left" vertical="top" wrapText="1"/>
      <protection locked="0"/>
    </xf>
    <xf numFmtId="43" fontId="20" fillId="0" borderId="13" xfId="1" applyFont="1" applyFill="1" applyBorder="1" applyAlignment="1" applyProtection="1">
      <alignment horizontal="left" vertical="top" wrapText="1"/>
      <protection locked="0"/>
    </xf>
    <xf numFmtId="43" fontId="20" fillId="0" borderId="15" xfId="1" applyFont="1" applyFill="1" applyBorder="1" applyAlignment="1" applyProtection="1">
      <alignment horizontal="left" vertical="top" wrapText="1"/>
      <protection locked="0"/>
    </xf>
    <xf numFmtId="43" fontId="20" fillId="0" borderId="17" xfId="1" applyFont="1" applyFill="1" applyBorder="1" applyAlignment="1" applyProtection="1">
      <alignment horizontal="left" vertical="top" wrapText="1"/>
      <protection locked="0"/>
    </xf>
    <xf numFmtId="43" fontId="20" fillId="0" borderId="18" xfId="1" applyFont="1" applyFill="1" applyBorder="1" applyAlignment="1" applyProtection="1">
      <alignment horizontal="left" vertical="top" wrapText="1"/>
      <protection locked="0"/>
    </xf>
    <xf numFmtId="10" fontId="20" fillId="0" borderId="20" xfId="4" applyNumberFormat="1" applyFont="1" applyFill="1" applyBorder="1" applyAlignment="1" applyProtection="1">
      <alignment horizontal="center" wrapText="1"/>
    </xf>
    <xf numFmtId="1" fontId="20" fillId="0" borderId="20" xfId="0" applyNumberFormat="1" applyFont="1" applyBorder="1" applyAlignment="1" applyProtection="1">
      <alignment horizontal="center" wrapText="1"/>
      <protection locked="0"/>
    </xf>
    <xf numFmtId="43" fontId="24" fillId="0" borderId="20" xfId="1" applyFont="1" applyFill="1" applyBorder="1" applyAlignment="1" applyProtection="1">
      <alignment horizontal="center" wrapText="1"/>
    </xf>
    <xf numFmtId="1" fontId="0" fillId="0" borderId="16" xfId="0" applyNumberFormat="1" applyBorder="1" applyAlignment="1" applyProtection="1">
      <alignment horizontal="center" wrapText="1"/>
      <protection locked="0"/>
    </xf>
    <xf numFmtId="1" fontId="20" fillId="0" borderId="0" xfId="0" applyNumberFormat="1" applyFont="1" applyAlignment="1" applyProtection="1">
      <alignment horizontal="center" wrapText="1"/>
      <protection locked="0"/>
    </xf>
    <xf numFmtId="1" fontId="2" fillId="0" borderId="20" xfId="0" applyNumberFormat="1" applyFont="1" applyBorder="1" applyAlignment="1" applyProtection="1">
      <alignment horizontal="center" wrapText="1"/>
      <protection locked="0"/>
    </xf>
    <xf numFmtId="1" fontId="19" fillId="7" borderId="25" xfId="0" applyNumberFormat="1" applyFont="1" applyFill="1" applyBorder="1" applyAlignment="1">
      <alignment horizontal="center"/>
    </xf>
    <xf numFmtId="1" fontId="19" fillId="7" borderId="21" xfId="0" applyNumberFormat="1" applyFont="1" applyFill="1" applyBorder="1" applyAlignment="1">
      <alignment horizontal="center"/>
    </xf>
    <xf numFmtId="1" fontId="19" fillId="7" borderId="23" xfId="0" applyNumberFormat="1" applyFont="1" applyFill="1" applyBorder="1" applyAlignment="1">
      <alignment horizontal="center"/>
    </xf>
    <xf numFmtId="1" fontId="0" fillId="0" borderId="25" xfId="0" applyNumberFormat="1" applyBorder="1" applyAlignment="1">
      <alignment horizontal="center"/>
    </xf>
    <xf numFmtId="1" fontId="0" fillId="0" borderId="21" xfId="0" applyNumberFormat="1" applyBorder="1" applyAlignment="1">
      <alignment horizontal="center"/>
    </xf>
    <xf numFmtId="1" fontId="1" fillId="0" borderId="13" xfId="0" applyNumberFormat="1" applyFont="1" applyBorder="1" applyAlignment="1">
      <alignment horizontal="left" wrapText="1"/>
    </xf>
    <xf numFmtId="1" fontId="20" fillId="0" borderId="14" xfId="0" applyNumberFormat="1" applyFont="1" applyBorder="1" applyAlignment="1">
      <alignment horizontal="left" wrapText="1"/>
    </xf>
    <xf numFmtId="2" fontId="2" fillId="0" borderId="25" xfId="0" applyNumberFormat="1" applyFont="1" applyBorder="1" applyAlignment="1">
      <alignment horizontal="center"/>
    </xf>
    <xf numFmtId="2" fontId="2" fillId="0" borderId="21" xfId="0" applyNumberFormat="1" applyFont="1" applyBorder="1" applyAlignment="1">
      <alignment horizontal="center"/>
    </xf>
    <xf numFmtId="2" fontId="2" fillId="0" borderId="23" xfId="0" applyNumberFormat="1" applyFont="1" applyBorder="1" applyAlignment="1">
      <alignment horizontal="center"/>
    </xf>
    <xf numFmtId="1" fontId="51" fillId="0" borderId="0" xfId="0" applyNumberFormat="1" applyFont="1" applyAlignment="1">
      <alignment horizontal="center"/>
    </xf>
    <xf numFmtId="0" fontId="51" fillId="0" borderId="0" xfId="0" applyFont="1" applyAlignment="1">
      <alignment horizontal="center"/>
    </xf>
    <xf numFmtId="165" fontId="20" fillId="0" borderId="0" xfId="1" applyNumberFormat="1" applyFont="1" applyAlignment="1" applyProtection="1">
      <alignment horizontal="center" wrapText="1"/>
    </xf>
    <xf numFmtId="165" fontId="0" fillId="0" borderId="0" xfId="1" applyNumberFormat="1" applyFont="1" applyAlignment="1" applyProtection="1">
      <alignment horizontal="center" wrapText="1"/>
    </xf>
    <xf numFmtId="14" fontId="2" fillId="0" borderId="1" xfId="0" applyNumberFormat="1" applyFont="1" applyBorder="1" applyAlignment="1" applyProtection="1">
      <alignment horizontal="center"/>
      <protection locked="0"/>
    </xf>
    <xf numFmtId="14" fontId="0" fillId="0" borderId="1" xfId="0" applyNumberFormat="1" applyBorder="1" applyAlignment="1" applyProtection="1">
      <alignment horizontal="center"/>
      <protection locked="0"/>
    </xf>
    <xf numFmtId="0" fontId="2" fillId="0" borderId="0" xfId="0" applyFont="1" applyAlignment="1">
      <alignment horizontal="left"/>
    </xf>
    <xf numFmtId="1" fontId="52" fillId="0" borderId="0" xfId="0" applyNumberFormat="1" applyFont="1" applyAlignment="1">
      <alignment horizontal="center"/>
    </xf>
    <xf numFmtId="0" fontId="52" fillId="0" borderId="0" xfId="0" applyFont="1" applyAlignment="1">
      <alignment horizontal="center"/>
    </xf>
    <xf numFmtId="0" fontId="53" fillId="0" borderId="0" xfId="0" applyFont="1" applyAlignment="1">
      <alignment horizontal="center"/>
    </xf>
    <xf numFmtId="1" fontId="53" fillId="0" borderId="0" xfId="0" applyNumberFormat="1" applyFont="1" applyAlignment="1">
      <alignment horizontal="center"/>
    </xf>
    <xf numFmtId="0" fontId="54" fillId="0" borderId="0" xfId="0" applyFont="1" applyAlignment="1">
      <alignment horizontal="center"/>
    </xf>
    <xf numFmtId="3" fontId="65" fillId="0" borderId="1" xfId="0" quotePrefix="1" applyNumberFormat="1" applyFont="1" applyBorder="1" applyAlignment="1">
      <alignment horizontal="left"/>
    </xf>
    <xf numFmtId="0" fontId="65" fillId="0" borderId="1" xfId="0" applyFont="1" applyBorder="1" applyAlignment="1">
      <alignment horizontal="left"/>
    </xf>
    <xf numFmtId="1" fontId="2" fillId="0" borderId="0" xfId="0" applyNumberFormat="1" applyFont="1" applyAlignment="1" applyProtection="1">
      <alignment horizontal="center" wrapText="1"/>
      <protection locked="0"/>
    </xf>
    <xf numFmtId="1" fontId="32" fillId="0" borderId="22" xfId="0" applyNumberFormat="1" applyFont="1" applyBorder="1" applyAlignment="1">
      <alignment horizontal="center" wrapText="1"/>
    </xf>
    <xf numFmtId="1" fontId="32" fillId="0" borderId="20" xfId="0" applyNumberFormat="1" applyFont="1" applyBorder="1" applyAlignment="1">
      <alignment horizontal="center" wrapText="1"/>
    </xf>
    <xf numFmtId="1" fontId="3" fillId="0" borderId="24" xfId="0" applyNumberFormat="1" applyFont="1" applyBorder="1" applyAlignment="1">
      <alignment horizontal="center"/>
    </xf>
    <xf numFmtId="1" fontId="12" fillId="0" borderId="33" xfId="0" applyNumberFormat="1" applyFont="1" applyBorder="1" applyAlignment="1">
      <alignment horizontal="center" wrapText="1"/>
    </xf>
    <xf numFmtId="43" fontId="2" fillId="0" borderId="13" xfId="1" applyFont="1" applyFill="1" applyBorder="1" applyAlignment="1" applyProtection="1">
      <alignment horizontal="left" vertical="top" wrapText="1"/>
      <protection locked="0"/>
    </xf>
    <xf numFmtId="1" fontId="20" fillId="0" borderId="15" xfId="0" applyNumberFormat="1" applyFont="1" applyBorder="1" applyAlignment="1">
      <alignment horizontal="center" wrapText="1"/>
    </xf>
    <xf numFmtId="43" fontId="3" fillId="0" borderId="22" xfId="1" applyFont="1" applyFill="1" applyBorder="1" applyAlignment="1" applyProtection="1">
      <alignment horizontal="left" vertical="top" wrapText="1"/>
    </xf>
    <xf numFmtId="43" fontId="3" fillId="0" borderId="24" xfId="1" applyFont="1" applyFill="1" applyBorder="1" applyAlignment="1" applyProtection="1">
      <alignment horizontal="left" vertical="top" wrapText="1"/>
    </xf>
    <xf numFmtId="2" fontId="2" fillId="0" borderId="13" xfId="0" applyNumberFormat="1" applyFont="1" applyBorder="1" applyAlignment="1">
      <alignment horizontal="center"/>
    </xf>
    <xf numFmtId="1" fontId="19" fillId="6" borderId="25" xfId="0" applyNumberFormat="1" applyFont="1" applyFill="1" applyBorder="1" applyAlignment="1">
      <alignment horizontal="center"/>
    </xf>
    <xf numFmtId="1" fontId="19" fillId="6" borderId="21" xfId="0" applyNumberFormat="1" applyFont="1" applyFill="1" applyBorder="1" applyAlignment="1">
      <alignment horizontal="center"/>
    </xf>
    <xf numFmtId="1" fontId="19" fillId="6" borderId="23" xfId="0" applyNumberFormat="1" applyFont="1" applyFill="1" applyBorder="1" applyAlignment="1">
      <alignment horizontal="center"/>
    </xf>
    <xf numFmtId="43" fontId="3" fillId="0" borderId="22" xfId="1" applyFont="1" applyFill="1" applyBorder="1" applyAlignment="1" applyProtection="1">
      <alignment horizontal="center" wrapText="1"/>
    </xf>
    <xf numFmtId="43" fontId="3" fillId="0" borderId="24" xfId="1" applyFont="1" applyFill="1" applyBorder="1" applyAlignment="1" applyProtection="1">
      <alignment horizontal="center" wrapText="1"/>
    </xf>
    <xf numFmtId="1" fontId="2" fillId="0" borderId="16" xfId="0" applyNumberFormat="1" applyFont="1" applyBorder="1" applyAlignment="1">
      <alignment horizontal="center" wrapText="1"/>
    </xf>
    <xf numFmtId="1" fontId="2" fillId="0" borderId="19" xfId="0" applyNumberFormat="1" applyFont="1" applyBorder="1" applyAlignment="1">
      <alignment horizontal="center" wrapText="1"/>
    </xf>
    <xf numFmtId="0" fontId="55" fillId="0" borderId="0" xfId="0" applyFont="1" applyAlignment="1">
      <alignment horizontal="center"/>
    </xf>
    <xf numFmtId="4" fontId="55" fillId="0" borderId="0" xfId="0" applyNumberFormat="1" applyFont="1" applyAlignment="1">
      <alignment horizontal="center"/>
    </xf>
    <xf numFmtId="4" fontId="56" fillId="0" borderId="0" xfId="0" applyNumberFormat="1" applyFont="1" applyAlignment="1">
      <alignment horizontal="center"/>
    </xf>
    <xf numFmtId="0" fontId="56" fillId="0" borderId="0" xfId="0" applyFont="1" applyAlignment="1">
      <alignment horizontal="center"/>
    </xf>
    <xf numFmtId="0" fontId="57" fillId="0" borderId="0" xfId="0" applyFont="1" applyAlignment="1">
      <alignment horizontal="center"/>
    </xf>
    <xf numFmtId="167" fontId="14" fillId="0" borderId="1" xfId="0" quotePrefix="1" applyNumberFormat="1" applyFont="1" applyBorder="1" applyAlignment="1" applyProtection="1">
      <alignment horizontal="center"/>
      <protection locked="0"/>
    </xf>
    <xf numFmtId="4" fontId="57" fillId="0" borderId="0" xfId="0" applyNumberFormat="1" applyFont="1" applyAlignment="1">
      <alignment horizontal="center"/>
    </xf>
    <xf numFmtId="0" fontId="58" fillId="0" borderId="0" xfId="0" applyFont="1" applyAlignment="1">
      <alignment horizontal="center"/>
    </xf>
    <xf numFmtId="3" fontId="65" fillId="0" borderId="1" xfId="0" applyNumberFormat="1" applyFont="1" applyBorder="1" applyAlignment="1">
      <alignment horizontal="left"/>
    </xf>
    <xf numFmtId="0" fontId="9" fillId="0" borderId="0" xfId="0" applyFont="1" applyAlignment="1" applyProtection="1">
      <alignment horizontal="left" wrapText="1"/>
      <protection locked="0"/>
    </xf>
    <xf numFmtId="0" fontId="9" fillId="0" borderId="0" xfId="0" applyFont="1" applyAlignment="1" applyProtection="1">
      <alignment horizontal="left"/>
      <protection locked="0"/>
    </xf>
  </cellXfs>
  <cellStyles count="6">
    <cellStyle name="Comma" xfId="1" builtinId="3"/>
    <cellStyle name="Currency" xfId="2" builtinId="4"/>
    <cellStyle name="Hyperlink" xfId="3" builtinId="8"/>
    <cellStyle name="Normal" xfId="0" builtinId="0"/>
    <cellStyle name="Normal_Choices" xfId="5" xr:uid="{00000000-0005-0000-0000-000004000000}"/>
    <cellStyle name="Percent" xfId="4" builtinId="5"/>
  </cellStyles>
  <dxfs count="10">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0000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40-EC42-11CE-9E0D-00AA006002F3}" r:id="rId1"/>
</file>

<file path=xl/activeX/activeX2.xml><?xml version="1.0" encoding="utf-8"?>
<ax:ocx xmlns:ax="http://schemas.microsoft.com/office/2006/activeX" xmlns:r="http://schemas.openxmlformats.org/officeDocument/2006/relationships" ax:classid="{8BD21D40-EC42-11CE-9E0D-00AA006002F3}" r:id="rId1"/>
</file>

<file path=xl/activeX/activeX3.xml><?xml version="1.0" encoding="utf-8"?>
<ax:ocx xmlns:ax="http://schemas.microsoft.com/office/2006/activeX" xmlns:r="http://schemas.openxmlformats.org/officeDocument/2006/relationships" ax:classid="{8BD21D40-EC42-11CE-9E0D-00AA006002F3}" r:id="rId1"/>
</file>

<file path=xl/activeX/activeX4.xml><?xml version="1.0" encoding="utf-8"?>
<ax:ocx xmlns:ax="http://schemas.microsoft.com/office/2006/activeX" xmlns:r="http://schemas.openxmlformats.org/officeDocument/2006/relationships" ax:classid="{8BD21D40-EC42-11CE-9E0D-00AA006002F3}" r:id="rId1"/>
</file>

<file path=xl/activeX/activeX5.xml><?xml version="1.0" encoding="utf-8"?>
<ax:ocx xmlns:ax="http://schemas.microsoft.com/office/2006/activeX" xmlns:r="http://schemas.openxmlformats.org/officeDocument/2006/relationships" ax:classid="{8BD21D40-EC42-11CE-9E0D-00AA006002F3}" r:id="rId1"/>
</file>

<file path=xl/activeX/activeX6.xml><?xml version="1.0" encoding="utf-8"?>
<ax:ocx xmlns:ax="http://schemas.microsoft.com/office/2006/activeX" xmlns:r="http://schemas.openxmlformats.org/officeDocument/2006/relationships" ax:classid="{8BD21D40-EC42-11CE-9E0D-00AA006002F3}" r:id="rId1"/>
</file>

<file path=xl/activeX/activeX7.xml><?xml version="1.0" encoding="utf-8"?>
<ax:ocx xmlns:ax="http://schemas.microsoft.com/office/2006/activeX" xmlns:r="http://schemas.openxmlformats.org/officeDocument/2006/relationships" ax:classid="{8BD21D40-EC42-11CE-9E0D-00AA006002F3}"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88900</xdr:colOff>
          <xdr:row>44</xdr:row>
          <xdr:rowOff>152400</xdr:rowOff>
        </xdr:from>
        <xdr:to>
          <xdr:col>5</xdr:col>
          <xdr:colOff>323850</xdr:colOff>
          <xdr:row>46</xdr:row>
          <xdr:rowOff>31750</xdr:rowOff>
        </xdr:to>
        <xdr:sp macro="" textlink="">
          <xdr:nvSpPr>
            <xdr:cNvPr id="1025" name="CheckBox2" hidden="1">
              <a:extLst>
                <a:ext uri="{63B3BB69-23CF-44E3-9099-C40C66FF867C}">
                  <a14:compatExt spid="_x0000_s1025"/>
                </a:ext>
                <a:ext uri="{FF2B5EF4-FFF2-40B4-BE49-F238E27FC236}">
                  <a16:creationId xmlns:a16="http://schemas.microsoft.com/office/drawing/2014/main" id="{00000000-0008-0000-05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47</xdr:row>
          <xdr:rowOff>38100</xdr:rowOff>
        </xdr:from>
        <xdr:to>
          <xdr:col>3</xdr:col>
          <xdr:colOff>285750</xdr:colOff>
          <xdr:row>48</xdr:row>
          <xdr:rowOff>38100</xdr:rowOff>
        </xdr:to>
        <xdr:sp macro="" textlink="">
          <xdr:nvSpPr>
            <xdr:cNvPr id="1026" name="CheckBox3" hidden="1">
              <a:extLst>
                <a:ext uri="{63B3BB69-23CF-44E3-9099-C40C66FF867C}">
                  <a14:compatExt spid="_x0000_s1026"/>
                </a:ext>
                <a:ext uri="{FF2B5EF4-FFF2-40B4-BE49-F238E27FC236}">
                  <a16:creationId xmlns:a16="http://schemas.microsoft.com/office/drawing/2014/main" id="{00000000-0008-0000-05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46</xdr:row>
          <xdr:rowOff>38100</xdr:rowOff>
        </xdr:from>
        <xdr:to>
          <xdr:col>3</xdr:col>
          <xdr:colOff>285750</xdr:colOff>
          <xdr:row>47</xdr:row>
          <xdr:rowOff>38100</xdr:rowOff>
        </xdr:to>
        <xdr:sp macro="" textlink="">
          <xdr:nvSpPr>
            <xdr:cNvPr id="1027" name="CheckBox4" hidden="1">
              <a:extLst>
                <a:ext uri="{63B3BB69-23CF-44E3-9099-C40C66FF867C}">
                  <a14:compatExt spid="_x0000_s1027"/>
                </a:ext>
                <a:ext uri="{FF2B5EF4-FFF2-40B4-BE49-F238E27FC236}">
                  <a16:creationId xmlns:a16="http://schemas.microsoft.com/office/drawing/2014/main" id="{00000000-0008-0000-05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45</xdr:row>
          <xdr:rowOff>0</xdr:rowOff>
        </xdr:from>
        <xdr:to>
          <xdr:col>5</xdr:col>
          <xdr:colOff>323850</xdr:colOff>
          <xdr:row>46</xdr:row>
          <xdr:rowOff>38100</xdr:rowOff>
        </xdr:to>
        <xdr:sp macro="" textlink="">
          <xdr:nvSpPr>
            <xdr:cNvPr id="1028" name="CheckBox5" hidden="1">
              <a:extLst>
                <a:ext uri="{63B3BB69-23CF-44E3-9099-C40C66FF867C}">
                  <a14:compatExt spid="_x0000_s1028"/>
                </a:ext>
                <a:ext uri="{FF2B5EF4-FFF2-40B4-BE49-F238E27FC236}">
                  <a16:creationId xmlns:a16="http://schemas.microsoft.com/office/drawing/2014/main" id="{00000000-0008-0000-05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46</xdr:row>
          <xdr:rowOff>12700</xdr:rowOff>
        </xdr:from>
        <xdr:to>
          <xdr:col>5</xdr:col>
          <xdr:colOff>323850</xdr:colOff>
          <xdr:row>47</xdr:row>
          <xdr:rowOff>12700</xdr:rowOff>
        </xdr:to>
        <xdr:sp macro="" textlink="">
          <xdr:nvSpPr>
            <xdr:cNvPr id="1029" name="CheckBox6" hidden="1">
              <a:extLst>
                <a:ext uri="{63B3BB69-23CF-44E3-9099-C40C66FF867C}">
                  <a14:compatExt spid="_x0000_s1029"/>
                </a:ext>
                <a:ext uri="{FF2B5EF4-FFF2-40B4-BE49-F238E27FC236}">
                  <a16:creationId xmlns:a16="http://schemas.microsoft.com/office/drawing/2014/main" id="{00000000-0008-0000-05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47</xdr:row>
          <xdr:rowOff>38100</xdr:rowOff>
        </xdr:from>
        <xdr:to>
          <xdr:col>5</xdr:col>
          <xdr:colOff>323850</xdr:colOff>
          <xdr:row>48</xdr:row>
          <xdr:rowOff>38100</xdr:rowOff>
        </xdr:to>
        <xdr:sp macro="" textlink="">
          <xdr:nvSpPr>
            <xdr:cNvPr id="1030" name="CheckBox7" hidden="1">
              <a:extLst>
                <a:ext uri="{63B3BB69-23CF-44E3-9099-C40C66FF867C}">
                  <a14:compatExt spid="_x0000_s1030"/>
                </a:ext>
                <a:ext uri="{FF2B5EF4-FFF2-40B4-BE49-F238E27FC236}">
                  <a16:creationId xmlns:a16="http://schemas.microsoft.com/office/drawing/2014/main" id="{00000000-0008-0000-05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45</xdr:row>
          <xdr:rowOff>12700</xdr:rowOff>
        </xdr:from>
        <xdr:to>
          <xdr:col>3</xdr:col>
          <xdr:colOff>285750</xdr:colOff>
          <xdr:row>46</xdr:row>
          <xdr:rowOff>50800</xdr:rowOff>
        </xdr:to>
        <xdr:sp macro="" textlink="">
          <xdr:nvSpPr>
            <xdr:cNvPr id="1031" name="CheckBox1" hidden="1">
              <a:extLst>
                <a:ext uri="{63B3BB69-23CF-44E3-9099-C40C66FF867C}">
                  <a14:compatExt spid="_x0000_s1031"/>
                </a:ext>
                <a:ext uri="{FF2B5EF4-FFF2-40B4-BE49-F238E27FC236}">
                  <a16:creationId xmlns:a16="http://schemas.microsoft.com/office/drawing/2014/main" id="{00000000-0008-0000-05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12700</xdr:colOff>
          <xdr:row>43</xdr:row>
          <xdr:rowOff>12700</xdr:rowOff>
        </xdr:from>
        <xdr:to>
          <xdr:col>4</xdr:col>
          <xdr:colOff>12700</xdr:colOff>
          <xdr:row>43</xdr:row>
          <xdr:rowOff>228600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A00-000002340000}"/>
                </a:ext>
              </a:extLst>
            </xdr:cNvPr>
            <xdr:cNvSpPr/>
          </xdr:nvSpPr>
          <xdr:spPr bwMode="auto">
            <a:xfrm>
              <a:off x="0" y="0"/>
              <a:ext cx="0" cy="0"/>
            </a:xfrm>
            <a:prstGeom prst="rect">
              <a:avLst/>
            </a:prstGeom>
            <a:noFill/>
            <a:ln>
              <a:noFill/>
            </a:ln>
            <a:effectLst/>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41</xdr:row>
          <xdr:rowOff>31750</xdr:rowOff>
        </xdr:from>
        <xdr:to>
          <xdr:col>4</xdr:col>
          <xdr:colOff>12700</xdr:colOff>
          <xdr:row>41</xdr:row>
          <xdr:rowOff>247650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A00-000004340000}"/>
                </a:ext>
              </a:extLst>
            </xdr:cNvPr>
            <xdr:cNvSpPr/>
          </xdr:nvSpPr>
          <xdr:spPr bwMode="auto">
            <a:xfrm>
              <a:off x="0" y="0"/>
              <a:ext cx="0" cy="0"/>
            </a:xfrm>
            <a:prstGeom prst="rect">
              <a:avLst/>
            </a:prstGeom>
            <a:noFill/>
            <a:ln>
              <a:noFill/>
            </a:ln>
            <a:effectLst/>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42</xdr:row>
          <xdr:rowOff>0</xdr:rowOff>
        </xdr:from>
        <xdr:to>
          <xdr:col>4</xdr:col>
          <xdr:colOff>31750</xdr:colOff>
          <xdr:row>43</xdr:row>
          <xdr:rowOff>12700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A00-000005340000}"/>
                </a:ext>
              </a:extLst>
            </xdr:cNvPr>
            <xdr:cNvSpPr/>
          </xdr:nvSpPr>
          <xdr:spPr bwMode="auto">
            <a:xfrm>
              <a:off x="0" y="0"/>
              <a:ext cx="0" cy="0"/>
            </a:xfrm>
            <a:prstGeom prst="rect">
              <a:avLst/>
            </a:prstGeom>
            <a:noFill/>
            <a:ln>
              <a:noFill/>
            </a:ln>
            <a:effectLst/>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41</xdr:row>
          <xdr:rowOff>12700</xdr:rowOff>
        </xdr:from>
        <xdr:to>
          <xdr:col>6</xdr:col>
          <xdr:colOff>0</xdr:colOff>
          <xdr:row>41</xdr:row>
          <xdr:rowOff>228600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A00-000006340000}"/>
                </a:ext>
              </a:extLst>
            </xdr:cNvPr>
            <xdr:cNvSpPr/>
          </xdr:nvSpPr>
          <xdr:spPr bwMode="auto">
            <a:xfrm>
              <a:off x="0" y="0"/>
              <a:ext cx="0" cy="0"/>
            </a:xfrm>
            <a:prstGeom prst="rect">
              <a:avLst/>
            </a:prstGeom>
            <a:noFill/>
            <a:ln>
              <a:noFill/>
            </a:ln>
            <a:effectLst/>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42</xdr:row>
          <xdr:rowOff>31750</xdr:rowOff>
        </xdr:from>
        <xdr:to>
          <xdr:col>5</xdr:col>
          <xdr:colOff>381000</xdr:colOff>
          <xdr:row>43</xdr:row>
          <xdr:rowOff>12700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A00-000007340000}"/>
                </a:ext>
              </a:extLst>
            </xdr:cNvPr>
            <xdr:cNvSpPr/>
          </xdr:nvSpPr>
          <xdr:spPr bwMode="auto">
            <a:xfrm>
              <a:off x="0" y="0"/>
              <a:ext cx="0" cy="0"/>
            </a:xfrm>
            <a:prstGeom prst="rect">
              <a:avLst/>
            </a:prstGeom>
            <a:noFill/>
            <a:ln>
              <a:noFill/>
            </a:ln>
            <a:effectLst/>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43</xdr:row>
          <xdr:rowOff>31750</xdr:rowOff>
        </xdr:from>
        <xdr:to>
          <xdr:col>5</xdr:col>
          <xdr:colOff>381000</xdr:colOff>
          <xdr:row>43</xdr:row>
          <xdr:rowOff>247650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A00-000008340000}"/>
                </a:ext>
              </a:extLst>
            </xdr:cNvPr>
            <xdr:cNvSpPr/>
          </xdr:nvSpPr>
          <xdr:spPr bwMode="auto">
            <a:xfrm>
              <a:off x="0" y="0"/>
              <a:ext cx="0" cy="0"/>
            </a:xfrm>
            <a:prstGeom prst="rect">
              <a:avLst/>
            </a:prstGeom>
            <a:noFill/>
            <a:ln>
              <a:noFill/>
            </a:ln>
            <a:effectLst/>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12700</xdr:colOff>
          <xdr:row>45</xdr:row>
          <xdr:rowOff>12700</xdr:rowOff>
        </xdr:from>
        <xdr:to>
          <xdr:col>4</xdr:col>
          <xdr:colOff>12700</xdr:colOff>
          <xdr:row>46</xdr:row>
          <xdr:rowOff>31750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E00-000001400000}"/>
                </a:ext>
              </a:extLst>
            </xdr:cNvPr>
            <xdr:cNvSpPr/>
          </xdr:nvSpPr>
          <xdr:spPr bwMode="auto">
            <a:xfrm>
              <a:off x="0" y="0"/>
              <a:ext cx="0" cy="0"/>
            </a:xfrm>
            <a:prstGeom prst="rect">
              <a:avLst/>
            </a:prstGeom>
            <a:noFill/>
            <a:ln>
              <a:noFill/>
            </a:ln>
            <a:effectLst/>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43</xdr:row>
          <xdr:rowOff>31750</xdr:rowOff>
        </xdr:from>
        <xdr:to>
          <xdr:col>4</xdr:col>
          <xdr:colOff>12700</xdr:colOff>
          <xdr:row>44</xdr:row>
          <xdr:rowOff>50800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E00-000002400000}"/>
                </a:ext>
              </a:extLst>
            </xdr:cNvPr>
            <xdr:cNvSpPr/>
          </xdr:nvSpPr>
          <xdr:spPr bwMode="auto">
            <a:xfrm>
              <a:off x="0" y="0"/>
              <a:ext cx="0" cy="0"/>
            </a:xfrm>
            <a:prstGeom prst="rect">
              <a:avLst/>
            </a:prstGeom>
            <a:noFill/>
            <a:ln>
              <a:noFill/>
            </a:ln>
            <a:effectLst/>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44</xdr:row>
          <xdr:rowOff>0</xdr:rowOff>
        </xdr:from>
        <xdr:to>
          <xdr:col>4</xdr:col>
          <xdr:colOff>31750</xdr:colOff>
          <xdr:row>45</xdr:row>
          <xdr:rowOff>50800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E00-000003400000}"/>
                </a:ext>
              </a:extLst>
            </xdr:cNvPr>
            <xdr:cNvSpPr/>
          </xdr:nvSpPr>
          <xdr:spPr bwMode="auto">
            <a:xfrm>
              <a:off x="0" y="0"/>
              <a:ext cx="0" cy="0"/>
            </a:xfrm>
            <a:prstGeom prst="rect">
              <a:avLst/>
            </a:prstGeom>
            <a:noFill/>
            <a:ln>
              <a:noFill/>
            </a:ln>
            <a:effectLst/>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43</xdr:row>
          <xdr:rowOff>12700</xdr:rowOff>
        </xdr:from>
        <xdr:to>
          <xdr:col>6</xdr:col>
          <xdr:colOff>0</xdr:colOff>
          <xdr:row>44</xdr:row>
          <xdr:rowOff>31750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E00-000004400000}"/>
                </a:ext>
              </a:extLst>
            </xdr:cNvPr>
            <xdr:cNvSpPr/>
          </xdr:nvSpPr>
          <xdr:spPr bwMode="auto">
            <a:xfrm>
              <a:off x="0" y="0"/>
              <a:ext cx="0" cy="0"/>
            </a:xfrm>
            <a:prstGeom prst="rect">
              <a:avLst/>
            </a:prstGeom>
            <a:noFill/>
            <a:ln>
              <a:noFill/>
            </a:ln>
            <a:effectLst/>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44</xdr:row>
          <xdr:rowOff>31750</xdr:rowOff>
        </xdr:from>
        <xdr:to>
          <xdr:col>5</xdr:col>
          <xdr:colOff>381000</xdr:colOff>
          <xdr:row>45</xdr:row>
          <xdr:rowOff>50800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E00-000005400000}"/>
                </a:ext>
              </a:extLst>
            </xdr:cNvPr>
            <xdr:cNvSpPr/>
          </xdr:nvSpPr>
          <xdr:spPr bwMode="auto">
            <a:xfrm>
              <a:off x="0" y="0"/>
              <a:ext cx="0" cy="0"/>
            </a:xfrm>
            <a:prstGeom prst="rect">
              <a:avLst/>
            </a:prstGeom>
            <a:noFill/>
            <a:ln>
              <a:noFill/>
            </a:ln>
            <a:effectLst/>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45</xdr:row>
          <xdr:rowOff>31750</xdr:rowOff>
        </xdr:from>
        <xdr:to>
          <xdr:col>5</xdr:col>
          <xdr:colOff>381000</xdr:colOff>
          <xdr:row>46</xdr:row>
          <xdr:rowOff>50800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E00-000006400000}"/>
                </a:ext>
              </a:extLst>
            </xdr:cNvPr>
            <xdr:cNvSpPr/>
          </xdr:nvSpPr>
          <xdr:spPr bwMode="auto">
            <a:xfrm>
              <a:off x="0" y="0"/>
              <a:ext cx="0" cy="0"/>
            </a:xfrm>
            <a:prstGeom prst="rect">
              <a:avLst/>
            </a:prstGeom>
            <a:noFill/>
            <a:ln>
              <a:noFill/>
            </a:ln>
            <a:effectLst/>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12700</xdr:colOff>
          <xdr:row>45</xdr:row>
          <xdr:rowOff>12700</xdr:rowOff>
        </xdr:from>
        <xdr:to>
          <xdr:col>3</xdr:col>
          <xdr:colOff>317500</xdr:colOff>
          <xdr:row>46</xdr:row>
          <xdr:rowOff>69850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1200-0000014C0000}"/>
                </a:ext>
              </a:extLst>
            </xdr:cNvPr>
            <xdr:cNvSpPr/>
          </xdr:nvSpPr>
          <xdr:spPr bwMode="auto">
            <a:xfrm>
              <a:off x="0" y="0"/>
              <a:ext cx="0" cy="0"/>
            </a:xfrm>
            <a:prstGeom prst="rect">
              <a:avLst/>
            </a:prstGeom>
            <a:noFill/>
            <a:ln>
              <a:noFill/>
            </a:ln>
            <a:effectLst/>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43</xdr:row>
          <xdr:rowOff>31750</xdr:rowOff>
        </xdr:from>
        <xdr:to>
          <xdr:col>3</xdr:col>
          <xdr:colOff>317500</xdr:colOff>
          <xdr:row>44</xdr:row>
          <xdr:rowOff>88900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1200-0000024C0000}"/>
                </a:ext>
              </a:extLst>
            </xdr:cNvPr>
            <xdr:cNvSpPr/>
          </xdr:nvSpPr>
          <xdr:spPr bwMode="auto">
            <a:xfrm>
              <a:off x="0" y="0"/>
              <a:ext cx="0" cy="0"/>
            </a:xfrm>
            <a:prstGeom prst="rect">
              <a:avLst/>
            </a:prstGeom>
            <a:noFill/>
            <a:ln>
              <a:noFill/>
            </a:ln>
            <a:effectLst/>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44</xdr:row>
          <xdr:rowOff>0</xdr:rowOff>
        </xdr:from>
        <xdr:to>
          <xdr:col>3</xdr:col>
          <xdr:colOff>342900</xdr:colOff>
          <xdr:row>45</xdr:row>
          <xdr:rowOff>88900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1200-0000034C0000}"/>
                </a:ext>
              </a:extLst>
            </xdr:cNvPr>
            <xdr:cNvSpPr/>
          </xdr:nvSpPr>
          <xdr:spPr bwMode="auto">
            <a:xfrm>
              <a:off x="0" y="0"/>
              <a:ext cx="0" cy="0"/>
            </a:xfrm>
            <a:prstGeom prst="rect">
              <a:avLst/>
            </a:prstGeom>
            <a:noFill/>
            <a:ln>
              <a:noFill/>
            </a:ln>
            <a:effectLst/>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43</xdr:row>
          <xdr:rowOff>12700</xdr:rowOff>
        </xdr:from>
        <xdr:to>
          <xdr:col>6</xdr:col>
          <xdr:colOff>12700</xdr:colOff>
          <xdr:row>44</xdr:row>
          <xdr:rowOff>69850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1200-0000044C0000}"/>
                </a:ext>
              </a:extLst>
            </xdr:cNvPr>
            <xdr:cNvSpPr/>
          </xdr:nvSpPr>
          <xdr:spPr bwMode="auto">
            <a:xfrm>
              <a:off x="0" y="0"/>
              <a:ext cx="0" cy="0"/>
            </a:xfrm>
            <a:prstGeom prst="rect">
              <a:avLst/>
            </a:prstGeom>
            <a:noFill/>
            <a:ln>
              <a:noFill/>
            </a:ln>
            <a:effectLst/>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44</xdr:row>
          <xdr:rowOff>31750</xdr:rowOff>
        </xdr:from>
        <xdr:to>
          <xdr:col>5</xdr:col>
          <xdr:colOff>381000</xdr:colOff>
          <xdr:row>45</xdr:row>
          <xdr:rowOff>88900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1200-0000054C0000}"/>
                </a:ext>
              </a:extLst>
            </xdr:cNvPr>
            <xdr:cNvSpPr/>
          </xdr:nvSpPr>
          <xdr:spPr bwMode="auto">
            <a:xfrm>
              <a:off x="0" y="0"/>
              <a:ext cx="0" cy="0"/>
            </a:xfrm>
            <a:prstGeom prst="rect">
              <a:avLst/>
            </a:prstGeom>
            <a:noFill/>
            <a:ln>
              <a:noFill/>
            </a:ln>
            <a:effectLst/>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45</xdr:row>
          <xdr:rowOff>31750</xdr:rowOff>
        </xdr:from>
        <xdr:to>
          <xdr:col>5</xdr:col>
          <xdr:colOff>381000</xdr:colOff>
          <xdr:row>46</xdr:row>
          <xdr:rowOff>88900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1200-0000064C0000}"/>
                </a:ext>
              </a:extLst>
            </xdr:cNvPr>
            <xdr:cNvSpPr/>
          </xdr:nvSpPr>
          <xdr:spPr bwMode="auto">
            <a:xfrm>
              <a:off x="0" y="0"/>
              <a:ext cx="0" cy="0"/>
            </a:xfrm>
            <a:prstGeom prst="rect">
              <a:avLst/>
            </a:prstGeom>
            <a:noFill/>
            <a:ln>
              <a:noFill/>
            </a:ln>
            <a:effectLst/>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2.xml"/><Relationship Id="rId7" Type="http://schemas.openxmlformats.org/officeDocument/2006/relationships/ctrlProp" Target="../ctrlProps/ctrlProp3.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ctrlProp" Target="../ctrlProps/ctrlProp2.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3.vml"/><Relationship Id="rId9" Type="http://schemas.openxmlformats.org/officeDocument/2006/relationships/ctrlProp" Target="../ctrlProps/ctrlProp5.xml"/></Relationships>
</file>

<file path=xl/worksheets/_rels/sheet12.xml.rels><?xml version="1.0" encoding="UTF-8" standalone="yes"?>
<Relationships xmlns="http://schemas.openxmlformats.org/package/2006/relationships"><Relationship Id="rId3" Type="http://schemas.openxmlformats.org/officeDocument/2006/relationships/hyperlink" Target="https://efte.twc.texas.gov/prevailing_wage_issues.html" TargetMode="External"/><Relationship Id="rId2" Type="http://schemas.openxmlformats.org/officeDocument/2006/relationships/hyperlink" Target="http://www.irs.gov/pub/irs-pdf/p561.pdf" TargetMode="External"/><Relationship Id="rId1" Type="http://schemas.openxmlformats.org/officeDocument/2006/relationships/printerSettings" Target="../printerSettings/printerSettings25.bin"/><Relationship Id="rId4" Type="http://schemas.openxmlformats.org/officeDocument/2006/relationships/printerSettings" Target="../printerSettings/printerSettings26.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drawing" Target="../drawings/drawing3.xml"/><Relationship Id="rId7" Type="http://schemas.openxmlformats.org/officeDocument/2006/relationships/ctrlProp" Target="../ctrlProps/ctrlProp9.x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ctrlProp" Target="../ctrlProps/ctrlProp8.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vmlDrawing" Target="../drawings/vmlDrawing4.vml"/><Relationship Id="rId9" Type="http://schemas.openxmlformats.org/officeDocument/2006/relationships/ctrlProp" Target="../ctrlProps/ctrlProp11.xml"/></Relationships>
</file>

<file path=xl/worksheets/_rels/sheet16.xml.rels><?xml version="1.0" encoding="UTF-8" standalone="yes"?>
<Relationships xmlns="http://schemas.openxmlformats.org/package/2006/relationships"><Relationship Id="rId3" Type="http://schemas.openxmlformats.org/officeDocument/2006/relationships/hyperlink" Target="https://efte.twc.texas.gov/prevailing_wage_issues.html" TargetMode="External"/><Relationship Id="rId2" Type="http://schemas.openxmlformats.org/officeDocument/2006/relationships/hyperlink" Target="http://www.irs.gov/pub/irs-pdf/p561.pdf" TargetMode="External"/><Relationship Id="rId1" Type="http://schemas.openxmlformats.org/officeDocument/2006/relationships/printerSettings" Target="../printerSettings/printerSettings33.bin"/><Relationship Id="rId4" Type="http://schemas.openxmlformats.org/officeDocument/2006/relationships/printerSettings" Target="../printerSettings/printerSettings34.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drawing" Target="../drawings/drawing4.xml"/><Relationship Id="rId7" Type="http://schemas.openxmlformats.org/officeDocument/2006/relationships/ctrlProp" Target="../ctrlProps/ctrlProp15.xml"/><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 Id="rId6" Type="http://schemas.openxmlformats.org/officeDocument/2006/relationships/ctrlProp" Target="../ctrlProps/ctrlProp14.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vmlDrawing" Target="../drawings/vmlDrawing5.vml"/><Relationship Id="rId9" Type="http://schemas.openxmlformats.org/officeDocument/2006/relationships/ctrlProp" Target="../ctrlProps/ctrlProp17.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3" Type="http://schemas.openxmlformats.org/officeDocument/2006/relationships/hyperlink" Target="https://efte.twc.texas.gov/prevailing_wage_issues.html" TargetMode="External"/><Relationship Id="rId2" Type="http://schemas.openxmlformats.org/officeDocument/2006/relationships/hyperlink" Target="http://www.irs.gov/pub/irs-pdf/p561.pdf" TargetMode="External"/><Relationship Id="rId1" Type="http://schemas.openxmlformats.org/officeDocument/2006/relationships/printerSettings" Target="../printerSettings/printerSettings41.bin"/><Relationship Id="rId4" Type="http://schemas.openxmlformats.org/officeDocument/2006/relationships/printerSettings" Target="../printerSettings/printerSettings4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8" Type="http://schemas.openxmlformats.org/officeDocument/2006/relationships/control" Target="../activeX/activeX2.xml"/><Relationship Id="rId13" Type="http://schemas.openxmlformats.org/officeDocument/2006/relationships/control" Target="../activeX/activeX6.xml"/><Relationship Id="rId3" Type="http://schemas.openxmlformats.org/officeDocument/2006/relationships/printerSettings" Target="../printerSettings/printerSettings12.bin"/><Relationship Id="rId7" Type="http://schemas.openxmlformats.org/officeDocument/2006/relationships/image" Target="../media/image1.emf"/><Relationship Id="rId12" Type="http://schemas.openxmlformats.org/officeDocument/2006/relationships/control" Target="../activeX/activeX5.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control" Target="../activeX/activeX1.xml"/><Relationship Id="rId11" Type="http://schemas.openxmlformats.org/officeDocument/2006/relationships/control" Target="../activeX/activeX4.xml"/><Relationship Id="rId5" Type="http://schemas.openxmlformats.org/officeDocument/2006/relationships/vmlDrawing" Target="../drawings/vmlDrawing2.vml"/><Relationship Id="rId10" Type="http://schemas.openxmlformats.org/officeDocument/2006/relationships/control" Target="../activeX/activeX3.xml"/><Relationship Id="rId4" Type="http://schemas.openxmlformats.org/officeDocument/2006/relationships/drawing" Target="../drawings/drawing1.xml"/><Relationship Id="rId9" Type="http://schemas.openxmlformats.org/officeDocument/2006/relationships/image" Target="../media/image2.emf"/><Relationship Id="rId14" Type="http://schemas.openxmlformats.org/officeDocument/2006/relationships/control" Target="../activeX/activeX7.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hyperlink" Target="http://www.irs.gov/pub/irs-pdf/p561.pdf" TargetMode="Externa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printerSettings" Target="../printerSettings/printerSettings18.bin"/><Relationship Id="rId4" Type="http://schemas.openxmlformats.org/officeDocument/2006/relationships/hyperlink" Target="https://efte.twc.texas.gov/prevailing_wage_issues.html"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0">
    <tabColor rgb="FFFFFF00"/>
    <pageSetUpPr fitToPage="1"/>
  </sheetPr>
  <dimension ref="A1:BZ544"/>
  <sheetViews>
    <sheetView showGridLines="0" tabSelected="1" zoomScaleNormal="100" workbookViewId="0">
      <selection activeCell="F49" sqref="F49"/>
    </sheetView>
  </sheetViews>
  <sheetFormatPr defaultColWidth="9.1796875" defaultRowHeight="12.5"/>
  <cols>
    <col min="1" max="1" width="3.26953125" style="612" customWidth="1"/>
    <col min="2" max="2" width="23.54296875" customWidth="1"/>
    <col min="5" max="5" width="19.1796875" customWidth="1"/>
    <col min="12" max="26" width="9.1796875" customWidth="1"/>
    <col min="27" max="27" width="15" hidden="1" customWidth="1"/>
    <col min="28" max="28" width="14.26953125" hidden="1" customWidth="1"/>
    <col min="29" max="29" width="18.26953125" hidden="1" customWidth="1"/>
  </cols>
  <sheetData>
    <row r="1" spans="1:78">
      <c r="B1" s="605">
        <f ca="1">NOW()</f>
        <v>45380.323058564813</v>
      </c>
      <c r="H1" s="712" t="s">
        <v>412</v>
      </c>
      <c r="I1" s="712"/>
      <c r="J1" s="713"/>
      <c r="K1" s="714"/>
      <c r="P1" s="63"/>
      <c r="BZ1" s="63" t="s">
        <v>411</v>
      </c>
    </row>
    <row r="2" spans="1:78" ht="15.5">
      <c r="B2" s="716" t="s">
        <v>413</v>
      </c>
      <c r="C2" s="716"/>
      <c r="D2" s="716"/>
      <c r="E2" s="716"/>
      <c r="F2" s="716"/>
      <c r="G2" s="716"/>
      <c r="H2" s="716"/>
      <c r="I2" s="716"/>
      <c r="J2" s="716"/>
      <c r="K2" s="716"/>
    </row>
    <row r="3" spans="1:78">
      <c r="B3" s="702" t="s">
        <v>375</v>
      </c>
      <c r="C3" s="703"/>
      <c r="D3" s="703"/>
      <c r="E3" s="703"/>
      <c r="F3" s="703"/>
      <c r="G3" s="703"/>
      <c r="H3" s="703"/>
      <c r="I3" s="703"/>
      <c r="J3" s="703"/>
      <c r="K3" s="703"/>
    </row>
    <row r="4" spans="1:78" ht="13">
      <c r="B4" s="704" t="s">
        <v>376</v>
      </c>
      <c r="C4" s="704"/>
      <c r="D4" s="704"/>
      <c r="E4" s="704"/>
      <c r="F4" s="708" t="s">
        <v>465</v>
      </c>
      <c r="G4" s="708"/>
      <c r="H4" s="708"/>
      <c r="I4" s="708"/>
    </row>
    <row r="5" spans="1:78" ht="18">
      <c r="B5" s="707" t="str">
        <f>IF(AND(D20="Yes",F24="Yes"),"Common Provider",+AA5)</f>
        <v/>
      </c>
      <c r="C5" s="707"/>
      <c r="D5" s="707"/>
      <c r="E5" s="707"/>
      <c r="F5" s="707"/>
      <c r="G5" s="707"/>
      <c r="H5" s="707"/>
      <c r="I5" s="707"/>
      <c r="J5" s="707"/>
      <c r="K5" s="707"/>
      <c r="AA5" s="557" t="str">
        <f>IF(AND(D20="",F24=""),"",+AB5)</f>
        <v/>
      </c>
      <c r="AB5" s="557" t="str">
        <f>IF(AND(D20="Yes",F24="No"),"AAA Provider Only",+AC5)</f>
        <v/>
      </c>
      <c r="AC5" s="557" t="str">
        <f>IF(AND(D20="No",F24="Yes"),"Community Services Provider Only","")</f>
        <v/>
      </c>
    </row>
    <row r="6" spans="1:78" ht="24.75" customHeight="1">
      <c r="A6" s="627">
        <v>1</v>
      </c>
      <c r="B6" s="704" t="s">
        <v>393</v>
      </c>
      <c r="C6" s="704"/>
      <c r="D6" s="704"/>
      <c r="E6" s="704"/>
      <c r="F6" s="705"/>
      <c r="G6" s="705"/>
      <c r="H6" s="705"/>
      <c r="I6" s="705"/>
      <c r="J6" s="705"/>
      <c r="K6" s="705"/>
    </row>
    <row r="7" spans="1:78">
      <c r="A7" s="627">
        <v>2</v>
      </c>
      <c r="B7" s="704" t="s">
        <v>333</v>
      </c>
      <c r="C7" s="704"/>
      <c r="D7" s="704"/>
      <c r="E7" s="704"/>
      <c r="F7" s="706"/>
      <c r="G7" s="706"/>
      <c r="H7" s="706"/>
      <c r="I7" s="706"/>
      <c r="J7" s="706"/>
      <c r="K7" s="706"/>
    </row>
    <row r="8" spans="1:78">
      <c r="A8" s="627">
        <v>3</v>
      </c>
      <c r="B8" s="704" t="s">
        <v>334</v>
      </c>
      <c r="C8" s="704"/>
      <c r="D8" s="704"/>
      <c r="E8" s="704"/>
      <c r="F8" s="706"/>
      <c r="G8" s="706"/>
      <c r="H8" s="706"/>
      <c r="I8" s="706"/>
      <c r="J8" s="706"/>
      <c r="K8" s="706"/>
    </row>
    <row r="9" spans="1:78">
      <c r="A9" s="627">
        <v>4</v>
      </c>
      <c r="B9" s="704" t="s">
        <v>336</v>
      </c>
      <c r="C9" s="704"/>
      <c r="D9" s="704"/>
      <c r="E9" s="704"/>
      <c r="F9" s="706"/>
      <c r="G9" s="706"/>
      <c r="H9" s="706"/>
      <c r="I9" s="706"/>
      <c r="J9" s="706"/>
      <c r="K9" s="706"/>
    </row>
    <row r="10" spans="1:78">
      <c r="A10" s="627">
        <v>5</v>
      </c>
      <c r="B10" s="704" t="s">
        <v>335</v>
      </c>
      <c r="C10" s="704"/>
      <c r="D10" s="704"/>
      <c r="E10" s="704"/>
      <c r="F10" s="706"/>
      <c r="G10" s="706"/>
      <c r="H10" s="1"/>
      <c r="I10" s="1"/>
      <c r="J10" s="1"/>
      <c r="K10" s="1"/>
    </row>
    <row r="11" spans="1:78">
      <c r="A11" s="627">
        <v>6</v>
      </c>
      <c r="B11" s="704" t="s">
        <v>337</v>
      </c>
      <c r="C11" s="704"/>
      <c r="D11" s="704"/>
      <c r="E11" s="704"/>
      <c r="F11" s="706"/>
      <c r="G11" s="706"/>
      <c r="H11" s="1"/>
      <c r="I11" s="1"/>
      <c r="J11" s="1"/>
      <c r="K11" s="1"/>
    </row>
    <row r="12" spans="1:78">
      <c r="A12" s="627">
        <v>7</v>
      </c>
      <c r="B12" s="704" t="s">
        <v>377</v>
      </c>
      <c r="C12" s="704"/>
      <c r="D12" s="704"/>
      <c r="E12" s="704"/>
      <c r="F12" s="715"/>
      <c r="G12" s="710"/>
      <c r="H12" s="710"/>
      <c r="I12" s="710"/>
      <c r="J12" s="710"/>
      <c r="K12" s="1"/>
    </row>
    <row r="13" spans="1:78">
      <c r="A13" s="627">
        <v>8</v>
      </c>
      <c r="B13" s="704" t="s">
        <v>378</v>
      </c>
      <c r="C13" s="704"/>
      <c r="D13" s="704"/>
      <c r="E13" s="704"/>
      <c r="F13" s="710"/>
      <c r="G13" s="710"/>
      <c r="H13" s="710"/>
      <c r="I13" s="710"/>
      <c r="J13" s="710"/>
      <c r="K13" s="710"/>
    </row>
    <row r="14" spans="1:78">
      <c r="A14" s="627">
        <v>9</v>
      </c>
      <c r="B14" s="711" t="s">
        <v>409</v>
      </c>
      <c r="C14" s="704"/>
      <c r="D14" s="704"/>
      <c r="E14" s="704"/>
      <c r="F14" s="710"/>
      <c r="G14" s="710"/>
      <c r="H14" s="710"/>
      <c r="I14" s="710"/>
      <c r="J14" s="710"/>
      <c r="K14" s="710"/>
    </row>
    <row r="15" spans="1:78">
      <c r="A15" s="627"/>
      <c r="B15" s="635"/>
      <c r="C15" s="635"/>
      <c r="D15" s="635"/>
      <c r="E15" s="635"/>
      <c r="F15" s="636"/>
      <c r="G15" s="636"/>
      <c r="H15" s="636"/>
      <c r="I15" s="636"/>
      <c r="J15" s="636"/>
      <c r="K15" s="636"/>
    </row>
    <row r="16" spans="1:78">
      <c r="A16" s="627"/>
    </row>
    <row r="17" spans="1:30" ht="13">
      <c r="A17" s="627">
        <v>10</v>
      </c>
      <c r="B17" s="556" t="s">
        <v>397</v>
      </c>
      <c r="C17" s="558"/>
      <c r="D17" s="558"/>
      <c r="E17" s="558"/>
      <c r="F17" s="558"/>
      <c r="G17" s="555"/>
      <c r="H17" s="559" t="str">
        <f>IF(G17="","Either Yes or No must be selected","")</f>
        <v>Either Yes or No must be selected</v>
      </c>
    </row>
    <row r="18" spans="1:30">
      <c r="A18" s="627">
        <v>11</v>
      </c>
      <c r="B18" s="556" t="s">
        <v>440</v>
      </c>
      <c r="C18" s="558"/>
      <c r="D18" s="558"/>
      <c r="E18" s="558"/>
      <c r="F18" s="710"/>
      <c r="G18" s="710"/>
      <c r="H18" s="710"/>
      <c r="I18" s="710"/>
      <c r="J18" s="710"/>
      <c r="K18" s="710"/>
      <c r="L18" s="560"/>
    </row>
    <row r="19" spans="1:30" ht="13">
      <c r="A19" s="627"/>
      <c r="B19" s="558"/>
      <c r="C19" s="558"/>
      <c r="D19" s="558"/>
      <c r="E19" s="558"/>
      <c r="F19" s="561" t="str">
        <f>AA19</f>
        <v/>
      </c>
      <c r="G19" s="562"/>
      <c r="H19" s="562"/>
      <c r="I19" s="562"/>
      <c r="J19" s="562"/>
      <c r="K19" s="562"/>
      <c r="L19" s="562"/>
      <c r="AA19" s="557" t="str">
        <f>IF(G17="No","",+AB19)</f>
        <v/>
      </c>
      <c r="AB19" s="557" t="str">
        <f>IF(G17="","",+AC19)</f>
        <v/>
      </c>
      <c r="AC19" s="563"/>
    </row>
    <row r="20" spans="1:30" ht="13">
      <c r="A20" s="627">
        <v>12</v>
      </c>
      <c r="B20" s="556" t="s">
        <v>398</v>
      </c>
      <c r="C20" s="558"/>
      <c r="D20" s="570"/>
      <c r="E20" s="564" t="str">
        <f>+AB20</f>
        <v>Either Yes or No must be selected</v>
      </c>
      <c r="G20" s="558"/>
      <c r="H20" s="558"/>
      <c r="AA20" s="565"/>
      <c r="AB20" s="557" t="str">
        <f>IF(D20="No",(IF(D21&gt;"","Either select Yes or delete AAA name",+AC20)),+AC20)</f>
        <v>Either Yes or No must be selected</v>
      </c>
      <c r="AC20" s="563" t="str">
        <f>IF(D20="","Either Yes or No must be selected",+AD20)</f>
        <v>Either Yes or No must be selected</v>
      </c>
      <c r="AD20" s="558" t="str">
        <f>IF(D20="Yes","","")</f>
        <v/>
      </c>
    </row>
    <row r="21" spans="1:30" ht="13">
      <c r="A21" s="627">
        <v>13</v>
      </c>
      <c r="B21" s="558" t="s">
        <v>338</v>
      </c>
      <c r="C21" s="558"/>
      <c r="D21" s="709"/>
      <c r="E21" s="709"/>
      <c r="F21" s="709"/>
      <c r="G21" s="709"/>
      <c r="H21" s="709"/>
      <c r="I21" s="564" t="str">
        <f>IF(D20="yes",(IF(D21="","AAA Name Must be Selected","")),"")</f>
        <v/>
      </c>
    </row>
    <row r="22" spans="1:30" ht="13">
      <c r="A22" s="627">
        <v>14</v>
      </c>
      <c r="B22" s="558" t="s">
        <v>379</v>
      </c>
      <c r="C22" s="558"/>
      <c r="D22" s="706"/>
      <c r="E22" s="706"/>
      <c r="F22" s="706"/>
      <c r="G22" s="706"/>
      <c r="H22" s="706"/>
      <c r="I22" s="564" t="str">
        <f>IF(D20="yes",(IF(D22="","AAA Contact Name Must be Entered","")),"")</f>
        <v/>
      </c>
    </row>
    <row r="23" spans="1:30" ht="13">
      <c r="A23" s="627">
        <v>15</v>
      </c>
      <c r="B23" s="556" t="s">
        <v>437</v>
      </c>
      <c r="E23" s="570"/>
      <c r="F23" s="564" t="str">
        <f>IF(AND(D20="Yes",E23=""),"Either Contract or Vendor must be selected.","")</f>
        <v/>
      </c>
    </row>
    <row r="24" spans="1:30" ht="13">
      <c r="A24" s="627">
        <v>16</v>
      </c>
      <c r="B24" s="556" t="s">
        <v>417</v>
      </c>
      <c r="F24" s="570"/>
      <c r="G24" s="564" t="str">
        <f>+AB24</f>
        <v>Either Yes or No must be selected</v>
      </c>
      <c r="AA24" s="565"/>
      <c r="AB24" s="557" t="str">
        <f>IF(F24="No",(IF(E26&gt;"","Either select Yes or delete DADS Region Number",+AC24)),+AC24)</f>
        <v>Either Yes or No must be selected</v>
      </c>
      <c r="AC24" s="563" t="str">
        <f>IF(F24="","Either Yes or No must be selected",+AD24)</f>
        <v>Either Yes or No must be selected</v>
      </c>
      <c r="AD24" s="558" t="str">
        <f>IF(F24="Yes","","")</f>
        <v/>
      </c>
    </row>
    <row r="25" spans="1:30" ht="13">
      <c r="A25" s="627">
        <v>17</v>
      </c>
      <c r="B25" s="556" t="s">
        <v>418</v>
      </c>
      <c r="C25" s="558"/>
      <c r="D25" s="566"/>
      <c r="E25" s="566"/>
      <c r="F25" s="710" t="s">
        <v>72</v>
      </c>
      <c r="G25" s="710"/>
      <c r="H25" s="710"/>
      <c r="I25" s="710"/>
      <c r="J25" s="710"/>
      <c r="K25" s="564" t="str">
        <f>IF(F24="yes",(IF(F25="","Community Services Contact Name Must be Entered","")),"")</f>
        <v/>
      </c>
      <c r="AA25" s="565"/>
      <c r="AB25" s="557"/>
      <c r="AC25" s="563"/>
      <c r="AD25" s="558"/>
    </row>
    <row r="26" spans="1:30" ht="13">
      <c r="A26" s="627">
        <v>18</v>
      </c>
      <c r="B26" s="556" t="s">
        <v>419</v>
      </c>
      <c r="E26" s="709"/>
      <c r="F26" s="709"/>
      <c r="G26" s="564" t="str">
        <f>IF(F24="yes",(IF(E26="","DADS Region Number Must be Selected","")),"")</f>
        <v/>
      </c>
    </row>
    <row r="27" spans="1:30" ht="13">
      <c r="A27" s="627">
        <v>19</v>
      </c>
      <c r="B27" s="556" t="s">
        <v>420</v>
      </c>
      <c r="D27" s="640"/>
      <c r="E27" s="709"/>
      <c r="F27" s="709"/>
      <c r="G27" s="709"/>
      <c r="H27" s="709"/>
      <c r="I27" s="564" t="str">
        <f>IF(AND(F24="Yes",E27=""),"Contract number must be entered.","")</f>
        <v/>
      </c>
    </row>
    <row r="28" spans="1:30">
      <c r="A28" s="627"/>
    </row>
    <row r="29" spans="1:30" ht="13">
      <c r="A29" s="627"/>
      <c r="B29" s="132" t="s">
        <v>374</v>
      </c>
      <c r="C29" s="132"/>
      <c r="D29" s="132"/>
    </row>
    <row r="30" spans="1:30" ht="13">
      <c r="A30" s="627"/>
      <c r="B30" s="567" t="s">
        <v>246</v>
      </c>
      <c r="C30" s="132"/>
      <c r="D30" s="132"/>
    </row>
    <row r="31" spans="1:30" ht="13">
      <c r="A31" s="627">
        <v>20</v>
      </c>
      <c r="B31" s="556" t="s">
        <v>421</v>
      </c>
      <c r="I31" s="570"/>
      <c r="J31" s="564" t="str">
        <f>+AC31</f>
        <v>Either Yes or No must be selected</v>
      </c>
      <c r="AC31" s="563" t="str">
        <f>IF(I31="","Either Yes or No must be selected",+AD31)</f>
        <v>Either Yes or No must be selected</v>
      </c>
      <c r="AD31" s="558" t="str">
        <f>IF(I31="Yes","","")</f>
        <v/>
      </c>
    </row>
    <row r="32" spans="1:30" s="682" customFormat="1" ht="13">
      <c r="A32" s="681">
        <v>21</v>
      </c>
      <c r="B32" s="682" t="s">
        <v>449</v>
      </c>
      <c r="C32" s="683"/>
      <c r="D32" s="683"/>
      <c r="I32" s="570" t="s">
        <v>72</v>
      </c>
      <c r="J32" s="684" t="str">
        <f>+AC32</f>
        <v/>
      </c>
      <c r="AC32" s="685" t="str">
        <f>IF(AND(I31="Yes",I32=""),"Either Yes or No must be selected",+AD32)</f>
        <v/>
      </c>
      <c r="AD32" s="682" t="str">
        <f>IF(I32="Yes","","")</f>
        <v/>
      </c>
    </row>
    <row r="33" spans="1:29" s="682" customFormat="1" ht="13">
      <c r="A33" s="681">
        <v>22</v>
      </c>
      <c r="B33" s="682" t="s">
        <v>450</v>
      </c>
      <c r="C33" s="683"/>
      <c r="D33" s="683"/>
      <c r="H33" s="570" t="s">
        <v>72</v>
      </c>
      <c r="I33" s="684" t="str">
        <f>+AB33</f>
        <v/>
      </c>
      <c r="AB33" s="685" t="str">
        <f>IF(AND(H32="Yes",H33=""),"Either Yes or No must be selected",+AC33)</f>
        <v/>
      </c>
      <c r="AC33" s="682" t="str">
        <f>IF(H33="Yes","","")</f>
        <v/>
      </c>
    </row>
    <row r="34" spans="1:29" ht="13">
      <c r="A34" s="627">
        <v>23</v>
      </c>
      <c r="B34" s="556" t="s">
        <v>394</v>
      </c>
      <c r="G34" s="555"/>
      <c r="H34" s="564" t="str">
        <f>IF(AND(G34="",I31="Yes")," The number of meal routes must be entered","")</f>
        <v/>
      </c>
    </row>
    <row r="35" spans="1:29" ht="13">
      <c r="A35" s="627">
        <v>24</v>
      </c>
      <c r="B35" s="556" t="s">
        <v>395</v>
      </c>
      <c r="G35" s="555"/>
      <c r="H35" s="564" t="str">
        <f>IF(AND(G35="",I31="Yes")," The number of meal preparation sites must be entered","")</f>
        <v/>
      </c>
    </row>
    <row r="36" spans="1:29">
      <c r="A36" s="627">
        <v>25</v>
      </c>
      <c r="B36" s="556" t="s">
        <v>455</v>
      </c>
      <c r="I36" s="701"/>
    </row>
    <row r="37" spans="1:29" ht="13">
      <c r="A37" s="627"/>
      <c r="B37" s="567" t="s">
        <v>247</v>
      </c>
    </row>
    <row r="38" spans="1:29" ht="13">
      <c r="A38" s="627">
        <v>26</v>
      </c>
      <c r="B38" s="556" t="s">
        <v>448</v>
      </c>
      <c r="H38" s="570"/>
      <c r="I38" s="564" t="str">
        <f>+AB38</f>
        <v>Either Yes or No must be selected</v>
      </c>
      <c r="AB38" s="563" t="str">
        <f>IF(H38="","Either Yes or No must be selected",+AC38)</f>
        <v>Either Yes or No must be selected</v>
      </c>
      <c r="AC38" s="558" t="str">
        <f>IF(H38="Yes","","")</f>
        <v/>
      </c>
    </row>
    <row r="39" spans="1:29" s="682" customFormat="1" ht="13">
      <c r="A39" s="681">
        <v>27</v>
      </c>
      <c r="B39" s="682" t="s">
        <v>451</v>
      </c>
      <c r="C39" s="683"/>
      <c r="D39" s="683"/>
      <c r="H39" s="570" t="s">
        <v>72</v>
      </c>
      <c r="I39" s="684" t="str">
        <f>+AB39</f>
        <v/>
      </c>
      <c r="AB39" s="685" t="str">
        <f>IF(AND(H38="Yes",H39=""),"Either Yes or No must be selected",+AC39)</f>
        <v/>
      </c>
      <c r="AC39" s="682" t="str">
        <f>IF(H39="Yes","","")</f>
        <v/>
      </c>
    </row>
    <row r="40" spans="1:29" s="682" customFormat="1" ht="13">
      <c r="A40" s="681">
        <v>28</v>
      </c>
      <c r="B40" s="682" t="s">
        <v>452</v>
      </c>
      <c r="C40" s="683"/>
      <c r="D40" s="683"/>
      <c r="H40" s="570" t="s">
        <v>72</v>
      </c>
      <c r="I40" s="684" t="str">
        <f>+AB40</f>
        <v/>
      </c>
      <c r="AB40" s="685" t="str">
        <f>IF(AND(H38="Yes",H40=""),"Either Yes or No must be selected",+AC40)</f>
        <v/>
      </c>
      <c r="AC40" s="682" t="str">
        <f>IF(H40="Yes","","")</f>
        <v/>
      </c>
    </row>
    <row r="41" spans="1:29" ht="13">
      <c r="A41" s="627">
        <v>29</v>
      </c>
      <c r="B41" s="556" t="s">
        <v>395</v>
      </c>
      <c r="G41" s="555"/>
      <c r="H41" s="564" t="str">
        <f>IF(AND(G41="",H38="Yes")," The number of meal preparation sites must be entered","")</f>
        <v/>
      </c>
    </row>
    <row r="42" spans="1:29" ht="13">
      <c r="A42" s="627">
        <v>30</v>
      </c>
      <c r="B42" s="556" t="s">
        <v>396</v>
      </c>
      <c r="G42" s="555"/>
      <c r="H42" s="564" t="str">
        <f>IF(AND(G42="",H38="Yes")," The number of meal sites must be entered","")</f>
        <v/>
      </c>
    </row>
    <row r="43" spans="1:29">
      <c r="A43" s="627">
        <v>31</v>
      </c>
      <c r="B43" t="s">
        <v>456</v>
      </c>
      <c r="I43" s="701"/>
    </row>
    <row r="516" spans="2:7" ht="14.5">
      <c r="E516" s="568"/>
    </row>
    <row r="517" spans="2:7" ht="29">
      <c r="B517" t="s">
        <v>298</v>
      </c>
      <c r="E517" s="569" t="s">
        <v>339</v>
      </c>
      <c r="G517" s="556"/>
    </row>
    <row r="518" spans="2:7" ht="29">
      <c r="B518" t="s">
        <v>299</v>
      </c>
      <c r="E518" s="569" t="s">
        <v>340</v>
      </c>
      <c r="G518" s="556" t="s">
        <v>391</v>
      </c>
    </row>
    <row r="519" spans="2:7" ht="29">
      <c r="E519" s="569" t="s">
        <v>341</v>
      </c>
      <c r="G519" s="556" t="s">
        <v>390</v>
      </c>
    </row>
    <row r="520" spans="2:7" ht="29">
      <c r="B520" s="556" t="s">
        <v>439</v>
      </c>
      <c r="E520" s="569" t="s">
        <v>342</v>
      </c>
      <c r="G520" s="556" t="s">
        <v>368</v>
      </c>
    </row>
    <row r="521" spans="2:7" ht="29">
      <c r="B521" s="556" t="s">
        <v>367</v>
      </c>
      <c r="E521" s="569" t="s">
        <v>343</v>
      </c>
      <c r="G521" s="556" t="s">
        <v>369</v>
      </c>
    </row>
    <row r="522" spans="2:7" ht="29">
      <c r="E522" s="569" t="s">
        <v>344</v>
      </c>
      <c r="G522" s="556" t="s">
        <v>370</v>
      </c>
    </row>
    <row r="523" spans="2:7" ht="29">
      <c r="E523" s="569" t="s">
        <v>345</v>
      </c>
      <c r="G523" s="556" t="s">
        <v>371</v>
      </c>
    </row>
    <row r="524" spans="2:7" ht="29">
      <c r="E524" s="569" t="s">
        <v>346</v>
      </c>
      <c r="G524" s="556" t="s">
        <v>372</v>
      </c>
    </row>
    <row r="525" spans="2:7" ht="29">
      <c r="E525" s="569" t="s">
        <v>347</v>
      </c>
      <c r="G525" s="556" t="s">
        <v>373</v>
      </c>
    </row>
    <row r="526" spans="2:7" ht="29">
      <c r="E526" s="569" t="s">
        <v>348</v>
      </c>
      <c r="G526" s="556" t="s">
        <v>392</v>
      </c>
    </row>
    <row r="527" spans="2:7" ht="29">
      <c r="E527" s="569" t="s">
        <v>349</v>
      </c>
      <c r="G527" s="558"/>
    </row>
    <row r="528" spans="2:7" ht="43.5">
      <c r="E528" s="569" t="s">
        <v>350</v>
      </c>
      <c r="G528" s="558"/>
    </row>
    <row r="529" spans="5:7" ht="29">
      <c r="E529" s="569" t="s">
        <v>351</v>
      </c>
      <c r="G529" s="558"/>
    </row>
    <row r="530" spans="5:7" ht="29">
      <c r="E530" s="569" t="s">
        <v>352</v>
      </c>
      <c r="G530" s="558"/>
    </row>
    <row r="531" spans="5:7" ht="29">
      <c r="E531" s="569" t="s">
        <v>353</v>
      </c>
      <c r="G531" s="558"/>
    </row>
    <row r="532" spans="5:7" ht="43.5">
      <c r="E532" s="569" t="s">
        <v>354</v>
      </c>
      <c r="G532" s="558"/>
    </row>
    <row r="533" spans="5:7" ht="43.5">
      <c r="E533" s="569" t="s">
        <v>355</v>
      </c>
      <c r="G533" s="558"/>
    </row>
    <row r="534" spans="5:7" ht="43.5">
      <c r="E534" s="569" t="s">
        <v>356</v>
      </c>
      <c r="G534" s="558"/>
    </row>
    <row r="535" spans="5:7" ht="29">
      <c r="E535" s="569" t="s">
        <v>357</v>
      </c>
      <c r="G535" s="558"/>
    </row>
    <row r="536" spans="5:7" ht="29">
      <c r="E536" s="569" t="s">
        <v>358</v>
      </c>
      <c r="G536" s="558"/>
    </row>
    <row r="537" spans="5:7" ht="29">
      <c r="E537" s="569" t="s">
        <v>359</v>
      </c>
      <c r="G537" s="558"/>
    </row>
    <row r="538" spans="5:7" ht="29">
      <c r="E538" s="569" t="s">
        <v>360</v>
      </c>
      <c r="G538" s="558"/>
    </row>
    <row r="539" spans="5:7" ht="29">
      <c r="E539" s="569" t="s">
        <v>361</v>
      </c>
    </row>
    <row r="540" spans="5:7" ht="29">
      <c r="E540" s="569" t="s">
        <v>362</v>
      </c>
    </row>
    <row r="541" spans="5:7" ht="29">
      <c r="E541" s="569" t="s">
        <v>363</v>
      </c>
    </row>
    <row r="542" spans="5:7" ht="29">
      <c r="E542" s="569" t="s">
        <v>364</v>
      </c>
    </row>
    <row r="543" spans="5:7" ht="29">
      <c r="E543" s="569" t="s">
        <v>365</v>
      </c>
    </row>
    <row r="544" spans="5:7" ht="29">
      <c r="E544" s="569" t="s">
        <v>366</v>
      </c>
    </row>
  </sheetData>
  <sheetProtection selectLockedCells="1"/>
  <dataConsolidate/>
  <customSheetViews>
    <customSheetView guid="{DDFE7685-90A4-42DC-AFD9-89B5EC30420E}" showPageBreaks="1" showGridLines="0" fitToPage="1" printArea="1">
      <selection activeCell="M27" sqref="M27"/>
      <pageMargins left="0.25" right="0.25" top="0.75" bottom="0.75" header="0.3" footer="0.3"/>
      <pageSetup paperSize="5" scale="79" orientation="portrait" r:id="rId1"/>
    </customSheetView>
  </customSheetViews>
  <mergeCells count="31">
    <mergeCell ref="H1:I1"/>
    <mergeCell ref="J1:K1"/>
    <mergeCell ref="F13:K13"/>
    <mergeCell ref="D22:H22"/>
    <mergeCell ref="F25:J25"/>
    <mergeCell ref="F8:K8"/>
    <mergeCell ref="F9:K9"/>
    <mergeCell ref="F10:G10"/>
    <mergeCell ref="B12:E12"/>
    <mergeCell ref="B8:E8"/>
    <mergeCell ref="B9:E9"/>
    <mergeCell ref="B10:E10"/>
    <mergeCell ref="B11:E11"/>
    <mergeCell ref="F11:G11"/>
    <mergeCell ref="F12:J12"/>
    <mergeCell ref="B2:K2"/>
    <mergeCell ref="E27:H27"/>
    <mergeCell ref="D21:H21"/>
    <mergeCell ref="E26:F26"/>
    <mergeCell ref="F18:K18"/>
    <mergeCell ref="B13:E13"/>
    <mergeCell ref="B14:E14"/>
    <mergeCell ref="F14:K14"/>
    <mergeCell ref="B3:K3"/>
    <mergeCell ref="B6:E6"/>
    <mergeCell ref="F6:K6"/>
    <mergeCell ref="B7:E7"/>
    <mergeCell ref="F7:K7"/>
    <mergeCell ref="B5:K5"/>
    <mergeCell ref="B4:E4"/>
    <mergeCell ref="F4:I4"/>
  </mergeCells>
  <dataValidations xWindow="635" yWindow="700" count="30">
    <dataValidation type="list" allowBlank="1" showInputMessage="1" showErrorMessage="1" prompt="Select &quot;Yes&quot; if the provider has a contract/subrecipient agreement with the AAA to provide congregate meals. _x000a__x000a_Select &quot;No&quot; if the provider does not have a contract/subrecipient agreement with the AAA to provide congregate meals. _x000a_" sqref="H38" xr:uid="{00000000-0002-0000-0000-000000000000}">
      <formula1>$B$516:$B$518</formula1>
    </dataValidation>
    <dataValidation type="list" allowBlank="1" showInputMessage="1" showErrorMessage="1" promptTitle="Home Delivered Meal Provider" prompt="Select &quot;Yes&quot; if the provider has a contract/subrecipient agreement with HHS or the AAA to provide home delivered meals. _x000a__x000a_Select &quot;No&quot; if the provider does not have a contract/subrecipient agreement with HHS or the AAA to provide home delivered meals. _x000a_" sqref="I31" xr:uid="{00000000-0002-0000-0000-000001000000}">
      <formula1>$B$516:$B$518</formula1>
    </dataValidation>
    <dataValidation allowBlank="1" promptTitle="Current CM Waiver" prompt="Select &quot;Yes&quot; if the provider has an approved congregate_x000a_ meal waiver. _x000a_" sqref="H39" xr:uid="{00000000-0002-0000-0000-000002000000}"/>
    <dataValidation allowBlank="1" showInputMessage="1" showErrorMessage="1" promptTitle="Business Name" prompt="Enter the legal name of the agency. Do not use initals or DBA name." sqref="F6:K6" xr:uid="{00000000-0002-0000-0000-000003000000}"/>
    <dataValidation allowBlank="1" showInputMessage="1" showErrorMessage="1" promptTitle="Street Address" prompt="Enter the street address of the main office or location of the agency. If the address is a different city than the mailing address include the city and zip code." sqref="F7:K7" xr:uid="{00000000-0002-0000-0000-000004000000}"/>
    <dataValidation allowBlank="1" showInputMessage="1" showErrorMessage="1" promptTitle="Mailing Address" prompt="Enter the mailing address for the agency. If it is the same as the street address, enter it again._x000a_" sqref="F8:K8" xr:uid="{00000000-0002-0000-0000-000005000000}"/>
    <dataValidation allowBlank="1" showInputMessage="1" showErrorMessage="1" promptTitle="City" prompt="Enter the city for the mailing address" sqref="F9:K9" xr:uid="{00000000-0002-0000-0000-000006000000}"/>
    <dataValidation allowBlank="1" showInputMessage="1" showErrorMessage="1" promptTitle="zip code" prompt="Enter the 5 didgit zip code for the mailing address" sqref="F10:G10" xr:uid="{00000000-0002-0000-0000-000007000000}"/>
    <dataValidation allowBlank="1" showInputMessage="1" showErrorMessage="1" promptTitle="phone number" prompt="Enter the the 10 digit phone number for the agency. Example 123-987-4561" sqref="F11:G11" xr:uid="{00000000-0002-0000-0000-000008000000}"/>
    <dataValidation type="list" allowBlank="1" showInputMessage="1" showErrorMessage="1" promptTitle="Prior Year Rate Setting" prompt="Select &quot;Yes&quot; if a rate setting budget was submitted to HHSC for FFY 2023." sqref="G17" xr:uid="{00000000-0002-0000-0000-000009000000}">
      <formula1>$B$516:$B$518</formula1>
    </dataValidation>
    <dataValidation allowBlank="1" showInputMessage="1" showErrorMessage="1" promptTitle="Provider Name - Prior Year" prompt="Enter the provider name listed in the FFY 2023 rate setting workbook on the “Provider Total Budget by Serv” tab." sqref="F18:K18" xr:uid="{00000000-0002-0000-0000-00000A000000}"/>
    <dataValidation type="list" allowBlank="1" showInputMessage="1" showErrorMessage="1" promptTitle="AAA Provider" prompt="Select &quot;Yes&quot; if the provider will have a contractor or subrecipient relationship with a AAA for the proposed budget year. _x000a__x000a_Select &quot;No&quot; if only Title XX meals are provided." sqref="D20" xr:uid="{00000000-0002-0000-0000-00000B000000}">
      <formula1>$B$516:$B$518</formula1>
    </dataValidation>
    <dataValidation type="list" allowBlank="1" showInputMessage="1" showErrorMessage="1" promptTitle="AAA Name" prompt="Select the name of the AAA the provider will contract with for the proposed budget year." sqref="D21:H21" xr:uid="{00000000-0002-0000-0000-00000C000000}">
      <formula1>$E$516:$E$544</formula1>
    </dataValidation>
    <dataValidation type="list" allowBlank="1" showInputMessage="1" showErrorMessage="1" promptTitle="Contract/Subrecipient" prompt="Select Contract or Subrecipient" sqref="E23" xr:uid="{00000000-0002-0000-0000-00000D000000}">
      <formula1>$B$519:$B$521</formula1>
    </dataValidation>
    <dataValidation type="list" allowBlank="1" showInputMessage="1" showErrorMessage="1" promptTitle="HHS CCS Provider" prompt="Select &quot;Yes&quot; if Title  XX meals are provided. _x000a_" sqref="F24" xr:uid="{00000000-0002-0000-0000-00000E000000}">
      <formula1>$B$516:$B$518</formula1>
    </dataValidation>
    <dataValidation type="list" allowBlank="1" showInputMessage="1" showErrorMessage="1" prompt="Select the number of the HSS Contracted Community Services Region the provider will contract with for the proposed budget year." sqref="E26:F26" xr:uid="{00000000-0002-0000-0000-00000F000000}">
      <formula1>$G$517:$G$526</formula1>
    </dataValidation>
    <dataValidation type="whole" allowBlank="1" showInputMessage="1" showErrorMessage="1" sqref="G41:G42 G34:G37" xr:uid="{00000000-0002-0000-0000-000010000000}">
      <formula1>1</formula1>
      <formula2>500</formula2>
    </dataValidation>
    <dataValidation allowBlank="1" showErrorMessage="1" promptTitle="Provider Name - Prior Year" prompt="Enter the provider name listed in the  2011 rate setting workbook on the “Provider Total Budget by Serv” worksheet in cell C3." sqref="L18" xr:uid="{00000000-0002-0000-0000-000011000000}"/>
    <dataValidation allowBlank="1" showInputMessage="1" showErrorMessage="1" promptTitle="Contract Number" prompt="Enter The contract number listed on the HHS contract_x000a_" sqref="E27:H27" xr:uid="{00000000-0002-0000-0000-000012000000}"/>
    <dataValidation allowBlank="1" showInputMessage="1" showErrorMessage="1" promptTitle="e-mail" prompt="Enter an e-mail address that may be used to contact the provider._x000a_" sqref="F12:J12" xr:uid="{00000000-0002-0000-0000-000013000000}"/>
    <dataValidation allowBlank="1" showInputMessage="1" showErrorMessage="1" promptTitle="Contact Name" prompt="Enter the name of the person at the provider agency who should be contacted regarding any question on rate setting._x000a_" sqref="F13:K13" xr:uid="{00000000-0002-0000-0000-000014000000}"/>
    <dataValidation allowBlank="1" showInputMessage="1" showErrorMessage="1" promptTitle="AAA Contact Name" prompt="Enter the name of the person at the AAA who completed the rate setting and should be contacted regarding any question._x000a_" sqref="D25:E25" xr:uid="{00000000-0002-0000-0000-000015000000}"/>
    <dataValidation allowBlank="1" showInputMessage="1" promptTitle="HHS Contact Name" prompt="Enter the name of the Contract Manageer with HHS Contracted Community Services who should be contacted regarding questions._x000a_" sqref="F25:J25" xr:uid="{00000000-0002-0000-0000-000016000000}"/>
    <dataValidation allowBlank="1" promptTitle="Request for CM Waiver" prompt="Select &quot;Yes&quot; if the provider is requesting a congregate meal waiver. _x000a_" sqref="H40" xr:uid="{00000000-0002-0000-0000-000017000000}"/>
    <dataValidation allowBlank="1" promptTitle="Request for HDM Waiver" prompt="Select &quot;Yes&quot; if the provider is requesting a home delivered meal waiver. _x000a_" sqref="H33" xr:uid="{00000000-0002-0000-0000-000018000000}"/>
    <dataValidation allowBlank="1" promptTitle="Current HDM Waiver" prompt="Select &quot;Yes&quot; if the provider has an approved home delivered  meal waiver. _x000a_" sqref="I32" xr:uid="{00000000-0002-0000-0000-000019000000}"/>
    <dataValidation allowBlank="1" showInputMessage="1" showErrorMessage="1" promptTitle="Web Address" prompt="If the provider has a website or a webpage enter the web address. Example: https://hhs.texas.gov/._x000a_" sqref="F14:K14" xr:uid="{00000000-0002-0000-0000-00001A000000}"/>
    <dataValidation allowBlank="1" showInputMessage="1" showErrorMessage="1" promptTitle="AAA Contact Name" prompt="Enter the name of the person at the AAA who should be contacted regarding questions._x000a_" sqref="D22:H22" xr:uid="{00000000-0002-0000-0000-00001B000000}"/>
    <dataValidation type="list" allowBlank="1" showInputMessage="1" showErrorMessage="1" promptTitle="Congregate Meal Availability" prompt="Select 'Yes' if the provider makes congregate meals available at least 5 days a week and 250 a year." sqref="I43" xr:uid="{BD4638F4-ED40-4B17-B51B-9813BD7EB83A}">
      <formula1>"Yes, No"</formula1>
    </dataValidation>
    <dataValidation type="list" allowBlank="1" showInputMessage="1" showErrorMessage="1" promptTitle="Home Delivered Meal Availability" prompt="Select 'Yes' if the provider makes home delivered meals available at least 5 days a week and 250 a year." sqref="I36" xr:uid="{4BE6EFB8-75E3-4468-8030-E487D8CA0B67}">
      <formula1>"Yes, No"</formula1>
    </dataValidation>
  </dataValidations>
  <pageMargins left="0.25" right="0.25" top="0.75" bottom="0.75" header="0.3" footer="0.3"/>
  <pageSetup paperSize="5" scale="74"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00B050"/>
    <pageSetUpPr fitToPage="1"/>
  </sheetPr>
  <dimension ref="B1:K110"/>
  <sheetViews>
    <sheetView showGridLines="0" topLeftCell="A6" zoomScale="80" zoomScaleNormal="80" workbookViewId="0">
      <selection activeCell="F21" sqref="F21"/>
    </sheetView>
  </sheetViews>
  <sheetFormatPr defaultColWidth="9.1796875" defaultRowHeight="12.5"/>
  <cols>
    <col min="2" max="2" width="2.54296875" customWidth="1"/>
    <col min="3" max="3" width="19.81640625" customWidth="1"/>
    <col min="4" max="4" width="10.54296875" customWidth="1"/>
    <col min="5" max="5" width="14.453125" customWidth="1"/>
    <col min="6" max="6" width="13.7265625" customWidth="1"/>
    <col min="7" max="7" width="16" customWidth="1"/>
    <col min="8" max="8" width="16.7265625" customWidth="1"/>
    <col min="9" max="9" width="9.81640625" customWidth="1"/>
    <col min="10" max="10" width="3.453125" customWidth="1"/>
    <col min="11" max="11" width="14.81640625" customWidth="1"/>
  </cols>
  <sheetData>
    <row r="1" spans="2:11">
      <c r="C1" s="609">
        <f ca="1">NOW()</f>
        <v>45380.323058564813</v>
      </c>
    </row>
    <row r="2" spans="2:11">
      <c r="C2" s="273" t="s">
        <v>26</v>
      </c>
      <c r="D2" s="779">
        <f>+'Provider Information'!F6</f>
        <v>0</v>
      </c>
      <c r="E2" s="780"/>
      <c r="F2" s="780"/>
      <c r="G2" s="780"/>
      <c r="H2" s="780"/>
      <c r="I2" s="9"/>
    </row>
    <row r="3" spans="2:11">
      <c r="C3" s="572" t="s">
        <v>388</v>
      </c>
      <c r="D3" s="779">
        <f>+'Provider Information'!D21</f>
        <v>0</v>
      </c>
      <c r="E3" s="779"/>
      <c r="F3" s="779"/>
      <c r="G3" s="779"/>
      <c r="H3" s="779"/>
      <c r="I3" s="779"/>
      <c r="J3" s="703"/>
      <c r="K3" s="703"/>
    </row>
    <row r="4" spans="2:11" ht="15.5">
      <c r="B4" s="971" t="s">
        <v>247</v>
      </c>
      <c r="C4" s="971"/>
      <c r="D4" s="971"/>
      <c r="E4" s="971"/>
      <c r="F4" s="971"/>
      <c r="G4" s="971"/>
      <c r="H4" s="971"/>
      <c r="I4" s="971"/>
      <c r="J4" s="971"/>
      <c r="K4" s="971"/>
    </row>
    <row r="5" spans="2:11" ht="15.5">
      <c r="B5" s="971" t="s">
        <v>74</v>
      </c>
      <c r="C5" s="971"/>
      <c r="D5" s="971"/>
      <c r="E5" s="971"/>
      <c r="F5" s="971"/>
      <c r="G5" s="971"/>
      <c r="H5" s="971"/>
      <c r="I5" s="971"/>
      <c r="J5" s="971"/>
      <c r="K5" s="971"/>
    </row>
    <row r="6" spans="2:11">
      <c r="B6" s="703"/>
      <c r="C6" s="703"/>
      <c r="D6" s="703"/>
      <c r="E6" s="703"/>
      <c r="F6" s="703"/>
      <c r="G6" s="703"/>
      <c r="H6" s="703"/>
      <c r="I6" s="703"/>
      <c r="J6" s="703"/>
      <c r="K6" s="703"/>
    </row>
    <row r="7" spans="2:11">
      <c r="B7" s="872" t="s">
        <v>110</v>
      </c>
      <c r="C7" s="872"/>
      <c r="D7" s="872"/>
      <c r="E7" s="872"/>
      <c r="F7" s="872"/>
      <c r="G7" s="872"/>
      <c r="H7" s="872"/>
      <c r="I7" s="872"/>
      <c r="J7" s="3" t="s">
        <v>0</v>
      </c>
      <c r="K7" s="4" t="e">
        <f>+'Congregate Meal Budget'!I80</f>
        <v>#DIV/0!</v>
      </c>
    </row>
    <row r="8" spans="2:11">
      <c r="B8" s="703"/>
      <c r="C8" s="703"/>
      <c r="D8" s="703"/>
      <c r="E8" s="703"/>
      <c r="F8" s="703"/>
      <c r="G8" s="703"/>
      <c r="H8" s="703"/>
      <c r="I8" s="703"/>
      <c r="J8" s="703"/>
      <c r="K8" s="703"/>
    </row>
    <row r="9" spans="2:11">
      <c r="B9" s="872" t="s">
        <v>306</v>
      </c>
      <c r="C9" s="872"/>
      <c r="D9" s="872"/>
      <c r="E9" s="872"/>
      <c r="F9" s="872"/>
      <c r="G9" s="872"/>
      <c r="H9" s="872"/>
      <c r="I9" s="872"/>
      <c r="J9" s="872"/>
      <c r="K9" s="872"/>
    </row>
    <row r="10" spans="2:11">
      <c r="B10" s="703"/>
      <c r="C10" s="703"/>
      <c r="D10" s="703"/>
      <c r="E10" s="703"/>
      <c r="F10" s="703"/>
      <c r="G10" s="703"/>
      <c r="H10" s="703"/>
      <c r="I10" s="703"/>
      <c r="J10" s="703"/>
      <c r="K10" s="703"/>
    </row>
    <row r="11" spans="2:11" ht="25">
      <c r="B11" s="868" t="s">
        <v>431</v>
      </c>
      <c r="C11" s="869"/>
      <c r="D11" s="121">
        <f>+'Congregate Meal Budget'!G93</f>
        <v>0</v>
      </c>
      <c r="E11" s="123" t="s">
        <v>404</v>
      </c>
      <c r="F11" s="121">
        <f>+'Congregate Meal Budget'!G95</f>
        <v>0</v>
      </c>
      <c r="G11" s="122" t="str">
        <f>+'Congregate Meal Budget'!B98</f>
        <v>Other Sources 5</v>
      </c>
      <c r="H11" s="121">
        <f>+'Congregate Meal Budget'!G98</f>
        <v>0</v>
      </c>
      <c r="I11" s="870"/>
      <c r="J11" s="870"/>
      <c r="K11" s="870"/>
    </row>
    <row r="12" spans="2:11">
      <c r="B12" s="870"/>
      <c r="C12" s="870"/>
      <c r="D12" s="870"/>
      <c r="E12" s="870"/>
      <c r="F12" s="870"/>
      <c r="G12" s="870"/>
      <c r="H12" s="870"/>
      <c r="I12" s="870"/>
      <c r="J12" s="870"/>
      <c r="K12" s="870"/>
    </row>
    <row r="13" spans="2:11" ht="37.5">
      <c r="B13" s="869" t="s">
        <v>38</v>
      </c>
      <c r="C13" s="869"/>
      <c r="D13" s="121">
        <f>+'Congregate Meal Budget'!G94</f>
        <v>0</v>
      </c>
      <c r="E13" s="123" t="s">
        <v>107</v>
      </c>
      <c r="F13" s="121">
        <f>+'Congregate Meal Budget'!G96</f>
        <v>0</v>
      </c>
      <c r="G13" s="122" t="str">
        <f>+'Congregate Meal Budget'!B99</f>
        <v>Other Sources 6</v>
      </c>
      <c r="H13" s="121">
        <f>+'Congregate Meal Budget'!G99</f>
        <v>0</v>
      </c>
      <c r="I13" s="11"/>
      <c r="J13" s="36" t="s">
        <v>2</v>
      </c>
      <c r="K13" s="6">
        <f>IF('Congregate Meal Budget'!G100&gt;0,+D11+F11+H11+D13+F13+H13,0)</f>
        <v>0</v>
      </c>
    </row>
    <row r="14" spans="2:11" ht="6" customHeight="1">
      <c r="B14" s="703"/>
      <c r="C14" s="703"/>
      <c r="D14" s="703"/>
      <c r="E14" s="703"/>
      <c r="F14" s="703"/>
      <c r="G14" s="703"/>
      <c r="H14" s="703"/>
      <c r="I14" s="703"/>
      <c r="J14" s="703"/>
      <c r="K14" s="703"/>
    </row>
    <row r="15" spans="2:11" ht="13">
      <c r="B15" s="876"/>
      <c r="C15" s="876"/>
      <c r="D15" s="876"/>
      <c r="E15" s="876"/>
      <c r="F15" s="876"/>
      <c r="G15" s="876"/>
      <c r="H15" s="876"/>
      <c r="I15" s="876"/>
      <c r="J15" s="876"/>
      <c r="K15" s="876"/>
    </row>
    <row r="16" spans="2:11" ht="6.75" customHeight="1">
      <c r="B16" s="703"/>
      <c r="C16" s="703"/>
      <c r="D16" s="703"/>
      <c r="E16" s="703"/>
      <c r="F16" s="703"/>
      <c r="G16" s="703"/>
      <c r="H16" s="703"/>
      <c r="I16" s="703"/>
      <c r="J16" s="703"/>
      <c r="K16" s="703"/>
    </row>
    <row r="17" spans="2:11">
      <c r="B17" s="872" t="s">
        <v>408</v>
      </c>
      <c r="C17" s="872"/>
      <c r="D17" s="872"/>
      <c r="E17" s="872"/>
      <c r="F17" s="872"/>
      <c r="G17" s="872"/>
      <c r="H17" s="872"/>
      <c r="I17" s="872"/>
      <c r="J17" s="3" t="s">
        <v>3</v>
      </c>
      <c r="K17" s="4">
        <f>ROUND(IF(K13=0,0,+K7/K13),2)</f>
        <v>0</v>
      </c>
    </row>
    <row r="18" spans="2:11">
      <c r="B18" s="703"/>
      <c r="C18" s="703"/>
      <c r="D18" s="703"/>
      <c r="E18" s="703"/>
      <c r="F18" s="703"/>
      <c r="G18" s="703"/>
      <c r="H18" s="703"/>
      <c r="I18" s="703"/>
      <c r="J18" s="703"/>
      <c r="K18" s="703"/>
    </row>
    <row r="19" spans="2:11" ht="13">
      <c r="B19" s="874" t="s">
        <v>31</v>
      </c>
      <c r="C19" s="874"/>
      <c r="D19" s="874"/>
      <c r="E19" s="874"/>
      <c r="F19" s="874"/>
      <c r="G19" s="874"/>
      <c r="H19" s="874"/>
      <c r="I19" s="874"/>
      <c r="J19" s="874"/>
      <c r="K19" s="874"/>
    </row>
    <row r="20" spans="2:11" ht="13">
      <c r="B20" s="1"/>
      <c r="C20" s="1"/>
      <c r="D20" s="1"/>
      <c r="E20" s="1"/>
      <c r="F20" s="120" t="s">
        <v>431</v>
      </c>
      <c r="G20" s="64"/>
      <c r="H20" s="66"/>
    </row>
    <row r="21" spans="2:11">
      <c r="B21" s="872" t="s">
        <v>111</v>
      </c>
      <c r="C21" s="872"/>
      <c r="D21" s="872"/>
      <c r="E21" s="872"/>
      <c r="F21" s="674">
        <v>0.73</v>
      </c>
      <c r="H21" s="1"/>
      <c r="I21" s="703"/>
      <c r="J21" s="703"/>
      <c r="K21" s="703"/>
    </row>
    <row r="22" spans="2:11">
      <c r="B22" s="703"/>
      <c r="C22" s="703"/>
      <c r="D22" s="703"/>
      <c r="E22" s="703"/>
      <c r="F22" s="703"/>
      <c r="G22" s="703"/>
      <c r="H22" s="703"/>
      <c r="I22" s="703"/>
      <c r="J22" s="703"/>
      <c r="K22" s="703"/>
    </row>
    <row r="23" spans="2:11">
      <c r="B23" s="872" t="s">
        <v>112</v>
      </c>
      <c r="C23" s="872"/>
      <c r="D23" s="872"/>
      <c r="E23" s="872"/>
      <c r="F23" s="4">
        <f>ROUND(IF(K17=0,0,+K17-F21),2)</f>
        <v>0</v>
      </c>
      <c r="H23" s="119"/>
      <c r="I23" s="703"/>
      <c r="J23" s="703"/>
      <c r="K23" s="703"/>
    </row>
    <row r="25" spans="2:11">
      <c r="B25" s="2" t="s">
        <v>113</v>
      </c>
      <c r="C25" s="2"/>
      <c r="D25" s="2"/>
      <c r="E25" s="4">
        <f>ROUND(IF(F23="","",+F23*0.1),2)</f>
        <v>0</v>
      </c>
      <c r="H25" s="1"/>
    </row>
    <row r="26" spans="2:11" ht="50.25" customHeight="1">
      <c r="B26" s="873" t="s">
        <v>114</v>
      </c>
      <c r="C26" s="873"/>
      <c r="D26" s="873"/>
      <c r="E26" s="4">
        <f>-I103</f>
        <v>0</v>
      </c>
      <c r="H26" s="1"/>
    </row>
    <row r="27" spans="2:11" ht="28.5" customHeight="1">
      <c r="B27" s="861" t="s">
        <v>406</v>
      </c>
      <c r="C27" s="861"/>
      <c r="D27" s="861"/>
      <c r="E27" s="861"/>
      <c r="F27" s="4">
        <f>IF(+E25="",0,+E25+E26)</f>
        <v>0</v>
      </c>
      <c r="G27" s="1"/>
      <c r="H27" s="119"/>
      <c r="I27" s="1"/>
      <c r="J27" s="1"/>
      <c r="K27" s="1"/>
    </row>
    <row r="28" spans="2:11" ht="28.5" customHeight="1">
      <c r="B28" s="872" t="s">
        <v>115</v>
      </c>
      <c r="C28" s="872"/>
      <c r="D28" s="872"/>
      <c r="E28" s="872"/>
      <c r="F28" s="4">
        <f>ROUND(IF(K17&gt;0,K17-F27,0),2)</f>
        <v>0</v>
      </c>
      <c r="H28" s="118"/>
      <c r="I28" s="703"/>
      <c r="J28" s="703"/>
      <c r="K28" s="703"/>
    </row>
    <row r="30" spans="2:11" ht="13.5" customHeight="1">
      <c r="B30" t="s">
        <v>116</v>
      </c>
    </row>
    <row r="31" spans="2:11" ht="21.75" customHeight="1">
      <c r="C31" t="s">
        <v>266</v>
      </c>
    </row>
    <row r="32" spans="2:11">
      <c r="C32" t="s">
        <v>265</v>
      </c>
    </row>
    <row r="33" spans="3:9">
      <c r="C33" t="s">
        <v>5</v>
      </c>
    </row>
    <row r="34" spans="3:9" ht="42.75" customHeight="1">
      <c r="C34" s="964">
        <f>+'Congregate Meal Budget'!C2</f>
        <v>0</v>
      </c>
      <c r="D34" s="965"/>
      <c r="E34" s="965"/>
      <c r="G34" s="966"/>
      <c r="H34" s="881"/>
      <c r="I34" s="881"/>
    </row>
    <row r="35" spans="3:9">
      <c r="C35" s="877" t="s">
        <v>33</v>
      </c>
      <c r="D35" s="877"/>
      <c r="E35" s="877"/>
      <c r="G35" s="877" t="s">
        <v>34</v>
      </c>
      <c r="H35" s="877"/>
      <c r="I35" s="877"/>
    </row>
    <row r="38" spans="3:9">
      <c r="C38" s="966"/>
      <c r="D38" s="881"/>
      <c r="E38" s="881"/>
      <c r="G38" s="967"/>
      <c r="H38" s="885"/>
      <c r="I38" s="885"/>
    </row>
    <row r="39" spans="3:9">
      <c r="C39" s="877" t="s">
        <v>35</v>
      </c>
      <c r="D39" s="877"/>
      <c r="E39" s="877"/>
      <c r="G39" s="877" t="s">
        <v>36</v>
      </c>
      <c r="H39" s="877"/>
      <c r="I39" s="877"/>
    </row>
    <row r="42" spans="3:9">
      <c r="C42" s="968">
        <f>+'Congregate Meal Budget'!C3:G3</f>
        <v>0</v>
      </c>
      <c r="D42" s="968"/>
      <c r="E42" s="968"/>
      <c r="G42" s="703"/>
      <c r="H42" s="703"/>
      <c r="I42" s="703"/>
    </row>
    <row r="43" spans="3:9">
      <c r="C43" s="889" t="s">
        <v>37</v>
      </c>
      <c r="D43" s="889"/>
      <c r="E43" s="889"/>
      <c r="G43" s="969"/>
      <c r="H43" s="969"/>
      <c r="I43" s="969"/>
    </row>
    <row r="45" spans="3:9" ht="15.75" customHeight="1">
      <c r="C45" s="966">
        <f>'Provider Information'!$D$22</f>
        <v>0</v>
      </c>
      <c r="D45" s="881"/>
      <c r="E45" s="881"/>
      <c r="G45" s="703"/>
      <c r="H45" s="703"/>
      <c r="I45" s="703"/>
    </row>
    <row r="46" spans="3:9">
      <c r="C46" s="877" t="s">
        <v>34</v>
      </c>
      <c r="D46" s="877"/>
      <c r="E46" s="877"/>
      <c r="G46" s="703"/>
      <c r="H46" s="703"/>
      <c r="I46" s="703"/>
    </row>
    <row r="49" spans="3:9">
      <c r="C49" s="966"/>
      <c r="D49" s="881"/>
      <c r="E49" s="881"/>
    </row>
    <row r="50" spans="3:9">
      <c r="C50" s="877" t="s">
        <v>35</v>
      </c>
      <c r="D50" s="877"/>
      <c r="E50" s="877"/>
      <c r="G50" s="703"/>
      <c r="H50" s="703"/>
      <c r="I50" s="703"/>
    </row>
    <row r="53" spans="3:9">
      <c r="C53" s="967"/>
      <c r="D53" s="885"/>
      <c r="E53" s="885"/>
      <c r="G53" s="970"/>
      <c r="H53" s="970"/>
      <c r="I53" s="970"/>
    </row>
    <row r="54" spans="3:9">
      <c r="C54" s="877" t="s">
        <v>36</v>
      </c>
      <c r="D54" s="877"/>
      <c r="E54" s="877"/>
      <c r="G54" s="703"/>
      <c r="H54" s="703"/>
      <c r="I54" s="703"/>
    </row>
    <row r="94" spans="3:9" ht="13">
      <c r="C94" s="708" t="s">
        <v>58</v>
      </c>
      <c r="D94" s="708"/>
      <c r="E94" s="708"/>
      <c r="F94" s="708"/>
      <c r="G94" s="708"/>
      <c r="H94" s="708"/>
      <c r="I94" s="708"/>
    </row>
    <row r="95" spans="3:9">
      <c r="C95" t="s">
        <v>59</v>
      </c>
      <c r="I95" s="9">
        <f>+E25</f>
        <v>0</v>
      </c>
    </row>
    <row r="96" spans="3:9">
      <c r="C96" t="s">
        <v>73</v>
      </c>
      <c r="I96" s="6">
        <f>IF(D11+F11=0,K13,+D11+F11)</f>
        <v>0</v>
      </c>
    </row>
    <row r="97" spans="3:11">
      <c r="C97" t="s">
        <v>60</v>
      </c>
      <c r="D97" s="1"/>
      <c r="I97" s="10">
        <f>+I95*I96</f>
        <v>0</v>
      </c>
    </row>
    <row r="98" spans="3:11">
      <c r="C98" t="s">
        <v>61</v>
      </c>
      <c r="I98" s="6">
        <f>+'In-Kind Certification CM'!G25</f>
        <v>0</v>
      </c>
    </row>
    <row r="99" spans="3:11">
      <c r="C99" t="s">
        <v>62</v>
      </c>
      <c r="I99" s="11">
        <f>+I97-I98</f>
        <v>0</v>
      </c>
    </row>
    <row r="100" spans="3:11">
      <c r="C100" t="s">
        <v>78</v>
      </c>
      <c r="I100" s="6">
        <f>IF(+D11+F11=0,K13,+D11+F11)</f>
        <v>0</v>
      </c>
    </row>
    <row r="101" spans="3:11">
      <c r="C101" t="s">
        <v>64</v>
      </c>
      <c r="I101" s="12">
        <f>IF(I99=0,0,+I99/I100)</f>
        <v>0</v>
      </c>
      <c r="J101" s="1"/>
      <c r="K101" s="1"/>
    </row>
    <row r="102" spans="3:11">
      <c r="C102" t="s">
        <v>63</v>
      </c>
      <c r="I102" s="13">
        <f>+E25</f>
        <v>0</v>
      </c>
    </row>
    <row r="103" spans="3:11">
      <c r="C103" t="s">
        <v>65</v>
      </c>
      <c r="I103" s="9">
        <f>IF(+I101&lt;=0,+I102,+I102-I101)</f>
        <v>0</v>
      </c>
    </row>
    <row r="104" spans="3:11">
      <c r="I104" s="10"/>
    </row>
    <row r="105" spans="3:11">
      <c r="I105" s="11"/>
    </row>
    <row r="106" spans="3:11">
      <c r="I106" s="11"/>
    </row>
    <row r="107" spans="3:11">
      <c r="I107" s="11"/>
    </row>
    <row r="108" spans="3:11">
      <c r="I108" s="11"/>
    </row>
    <row r="109" spans="3:11">
      <c r="I109" s="11"/>
    </row>
    <row r="110" spans="3:11">
      <c r="I110" s="11"/>
    </row>
  </sheetData>
  <sheetProtection formatCells="0"/>
  <customSheetViews>
    <customSheetView guid="{DDFE7685-90A4-42DC-AFD9-89B5EC30420E}" scale="80" showPageBreaks="1" showGridLines="0" fitToPage="1" printArea="1">
      <selection activeCell="F75" sqref="F75"/>
      <pageMargins left="0.75" right="0.75" top="0.75" bottom="0.75" header="0.3" footer="0.3"/>
      <pageSetup paperSize="5" scale="23" orientation="portrait" r:id="rId1"/>
    </customSheetView>
  </customSheetViews>
  <mergeCells count="53">
    <mergeCell ref="D2:H2"/>
    <mergeCell ref="J3:K3"/>
    <mergeCell ref="B18:K18"/>
    <mergeCell ref="B19:K19"/>
    <mergeCell ref="B8:K8"/>
    <mergeCell ref="B9:K9"/>
    <mergeCell ref="B10:K10"/>
    <mergeCell ref="B4:K4"/>
    <mergeCell ref="B6:K6"/>
    <mergeCell ref="B7:I7"/>
    <mergeCell ref="B5:K5"/>
    <mergeCell ref="B12:K12"/>
    <mergeCell ref="B14:K14"/>
    <mergeCell ref="B15:K15"/>
    <mergeCell ref="B13:C13"/>
    <mergeCell ref="B11:C11"/>
    <mergeCell ref="I11:K11"/>
    <mergeCell ref="B16:K16"/>
    <mergeCell ref="B17:I17"/>
    <mergeCell ref="C94:I94"/>
    <mergeCell ref="C50:E50"/>
    <mergeCell ref="G50:I50"/>
    <mergeCell ref="C54:E54"/>
    <mergeCell ref="G54:I54"/>
    <mergeCell ref="G53:I53"/>
    <mergeCell ref="G42:I42"/>
    <mergeCell ref="C43:E43"/>
    <mergeCell ref="G39:I39"/>
    <mergeCell ref="C46:E46"/>
    <mergeCell ref="G46:I46"/>
    <mergeCell ref="C53:E53"/>
    <mergeCell ref="C49:E49"/>
    <mergeCell ref="G45:I45"/>
    <mergeCell ref="C45:E45"/>
    <mergeCell ref="C42:E42"/>
    <mergeCell ref="G43:I43"/>
    <mergeCell ref="C38:E38"/>
    <mergeCell ref="D3:I3"/>
    <mergeCell ref="I21:K21"/>
    <mergeCell ref="C39:E39"/>
    <mergeCell ref="I28:K28"/>
    <mergeCell ref="B21:E21"/>
    <mergeCell ref="B22:K22"/>
    <mergeCell ref="B23:E23"/>
    <mergeCell ref="I23:K23"/>
    <mergeCell ref="B27:E27"/>
    <mergeCell ref="B26:D26"/>
    <mergeCell ref="C35:E35"/>
    <mergeCell ref="B28:E28"/>
    <mergeCell ref="C34:E34"/>
    <mergeCell ref="G34:I34"/>
    <mergeCell ref="G38:I38"/>
    <mergeCell ref="G35:I35"/>
  </mergeCells>
  <pageMargins left="0.75" right="0.75" top="0.75" bottom="0.75" header="0.3" footer="0.3"/>
  <pageSetup paperSize="5" scale="74" orientation="portrait"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00B050"/>
    <pageSetUpPr fitToPage="1"/>
  </sheetPr>
  <dimension ref="B1:M45"/>
  <sheetViews>
    <sheetView showGridLines="0" topLeftCell="A31" zoomScaleNormal="100" workbookViewId="0">
      <selection activeCell="D2" sqref="D2:H2"/>
    </sheetView>
  </sheetViews>
  <sheetFormatPr defaultRowHeight="12.5"/>
  <cols>
    <col min="3" max="3" width="17.453125" customWidth="1"/>
    <col min="4" max="4" width="4.54296875" customWidth="1"/>
    <col min="5" max="5" width="19.453125" customWidth="1"/>
    <col min="6" max="6" width="6" customWidth="1"/>
    <col min="7" max="7" width="5.81640625" customWidth="1"/>
    <col min="8" max="8" width="13.453125" customWidth="1"/>
    <col min="13" max="13" width="11.81640625" customWidth="1"/>
  </cols>
  <sheetData>
    <row r="1" spans="2:11">
      <c r="C1" s="609">
        <f ca="1">NOW()</f>
        <v>45380.323058564813</v>
      </c>
    </row>
    <row r="2" spans="2:11" ht="15.5">
      <c r="B2" s="574"/>
      <c r="C2" s="273" t="s">
        <v>26</v>
      </c>
      <c r="D2" s="779">
        <f>+'Provider Information'!F6</f>
        <v>0</v>
      </c>
      <c r="E2" s="780"/>
      <c r="F2" s="780"/>
      <c r="G2" s="780"/>
      <c r="H2" s="780"/>
      <c r="I2" s="9"/>
    </row>
    <row r="3" spans="2:11" ht="15.5">
      <c r="B3" s="571"/>
      <c r="C3" s="572" t="s">
        <v>388</v>
      </c>
      <c r="D3" s="779">
        <f>+'Provider Information'!D21</f>
        <v>0</v>
      </c>
      <c r="E3" s="779"/>
      <c r="F3" s="779"/>
      <c r="G3" s="779"/>
      <c r="H3" s="779"/>
      <c r="I3" s="779"/>
    </row>
    <row r="4" spans="2:11" ht="17.5">
      <c r="B4" s="975" t="s">
        <v>247</v>
      </c>
      <c r="C4" s="975"/>
      <c r="D4" s="975"/>
      <c r="E4" s="975"/>
      <c r="F4" s="975"/>
      <c r="G4" s="975"/>
      <c r="H4" s="975"/>
      <c r="I4" s="975"/>
      <c r="J4" s="975"/>
      <c r="K4" s="975"/>
    </row>
    <row r="5" spans="2:11" ht="18.75" customHeight="1">
      <c r="B5" s="976" t="s">
        <v>79</v>
      </c>
      <c r="C5" s="976"/>
      <c r="D5" s="976"/>
      <c r="E5" s="976"/>
      <c r="F5" s="976"/>
      <c r="G5" s="976"/>
      <c r="H5" s="976"/>
      <c r="I5" s="976"/>
      <c r="J5" s="976"/>
      <c r="K5" s="976"/>
    </row>
    <row r="6" spans="2:11" ht="17.5">
      <c r="B6" s="863"/>
      <c r="C6" s="863"/>
      <c r="D6" s="863"/>
      <c r="E6" s="863"/>
      <c r="F6" s="124"/>
      <c r="G6" s="864"/>
      <c r="H6" s="865"/>
      <c r="I6" s="865"/>
      <c r="J6" s="865"/>
      <c r="K6" s="865"/>
    </row>
    <row r="7" spans="2:11" ht="15">
      <c r="B7" s="45" t="s">
        <v>80</v>
      </c>
      <c r="C7" s="46"/>
      <c r="D7" s="46"/>
      <c r="E7" s="46"/>
      <c r="F7" s="46"/>
      <c r="G7" s="46"/>
      <c r="H7" s="46"/>
      <c r="I7" s="47"/>
      <c r="J7" s="46"/>
      <c r="K7" s="48"/>
    </row>
    <row r="8" spans="2:11" ht="15">
      <c r="B8" s="49"/>
      <c r="K8" s="50"/>
    </row>
    <row r="9" spans="2:11" ht="16.5">
      <c r="B9" s="51" t="s">
        <v>81</v>
      </c>
      <c r="C9" s="52" t="s">
        <v>82</v>
      </c>
      <c r="K9" s="50"/>
    </row>
    <row r="10" spans="2:11" ht="16.5">
      <c r="B10" s="51"/>
      <c r="C10" s="52"/>
      <c r="K10" s="50"/>
    </row>
    <row r="11" spans="2:11" ht="16.5">
      <c r="B11" s="51" t="s">
        <v>81</v>
      </c>
      <c r="C11" s="52" t="s">
        <v>83</v>
      </c>
      <c r="K11" s="50"/>
    </row>
    <row r="12" spans="2:11" ht="16.5">
      <c r="B12" s="51"/>
      <c r="C12" s="52"/>
      <c r="K12" s="50"/>
    </row>
    <row r="13" spans="2:11" ht="16.5">
      <c r="B13" s="51" t="s">
        <v>81</v>
      </c>
      <c r="C13" s="52" t="s">
        <v>84</v>
      </c>
      <c r="K13" s="50"/>
    </row>
    <row r="14" spans="2:11" ht="16.5">
      <c r="B14" s="51" t="s">
        <v>5</v>
      </c>
      <c r="C14" s="52" t="s">
        <v>85</v>
      </c>
      <c r="D14" s="40"/>
      <c r="K14" s="50"/>
    </row>
    <row r="15" spans="2:11" ht="16.5">
      <c r="B15" s="51" t="s">
        <v>5</v>
      </c>
      <c r="C15" s="52" t="s">
        <v>86</v>
      </c>
      <c r="D15" s="40"/>
      <c r="K15" s="50"/>
    </row>
    <row r="16" spans="2:11" ht="16.5">
      <c r="B16" s="51"/>
      <c r="C16" s="52"/>
      <c r="K16" s="50"/>
    </row>
    <row r="17" spans="2:13" ht="16.5">
      <c r="B17" s="51" t="s">
        <v>81</v>
      </c>
      <c r="C17" s="52" t="s">
        <v>87</v>
      </c>
      <c r="K17" s="50"/>
    </row>
    <row r="18" spans="2:13" ht="16.5">
      <c r="B18" s="53" t="s">
        <v>5</v>
      </c>
      <c r="C18" s="52" t="s">
        <v>88</v>
      </c>
      <c r="D18" s="40"/>
      <c r="K18" s="50"/>
    </row>
    <row r="19" spans="2:13" ht="16.5">
      <c r="B19" s="53"/>
      <c r="C19" s="52"/>
      <c r="D19" s="40"/>
      <c r="K19" s="50"/>
    </row>
    <row r="20" spans="2:13" ht="16.5">
      <c r="B20" s="51" t="s">
        <v>81</v>
      </c>
      <c r="C20" s="52" t="s">
        <v>118</v>
      </c>
      <c r="D20" s="40"/>
      <c r="K20" s="50"/>
    </row>
    <row r="21" spans="2:13" ht="16.5">
      <c r="B21" s="53" t="s">
        <v>5</v>
      </c>
      <c r="C21" s="52" t="s">
        <v>119</v>
      </c>
      <c r="D21" s="40"/>
      <c r="K21" s="50"/>
    </row>
    <row r="22" spans="2:13" ht="16.5">
      <c r="B22" s="59"/>
      <c r="C22" s="52" t="s">
        <v>120</v>
      </c>
      <c r="K22" s="50"/>
    </row>
    <row r="23" spans="2:13">
      <c r="B23" s="65"/>
      <c r="C23" s="5"/>
      <c r="D23" s="5"/>
      <c r="E23" s="5"/>
      <c r="F23" s="5"/>
      <c r="G23" s="5"/>
      <c r="H23" s="5"/>
      <c r="I23" s="5"/>
      <c r="J23" s="5"/>
      <c r="K23" s="54"/>
    </row>
    <row r="24" spans="2:13" ht="15">
      <c r="B24" s="43"/>
    </row>
    <row r="25" spans="2:13" ht="15">
      <c r="B25" s="55" t="s">
        <v>89</v>
      </c>
      <c r="C25" s="56" t="s">
        <v>90</v>
      </c>
      <c r="D25" s="56"/>
      <c r="E25" s="46"/>
      <c r="F25" s="46"/>
      <c r="G25" s="46"/>
      <c r="H25" s="46"/>
      <c r="I25" s="46"/>
      <c r="J25" s="46"/>
      <c r="K25" s="48"/>
      <c r="M25" s="63"/>
    </row>
    <row r="26" spans="2:13" ht="15">
      <c r="B26" s="57"/>
      <c r="C26" s="58" t="s">
        <v>91</v>
      </c>
      <c r="D26" s="58"/>
      <c r="K26" s="50"/>
      <c r="M26" s="39"/>
    </row>
    <row r="27" spans="2:13" ht="15">
      <c r="B27" s="59"/>
      <c r="C27" s="58" t="s">
        <v>92</v>
      </c>
      <c r="D27" s="58"/>
      <c r="K27" s="50"/>
    </row>
    <row r="28" spans="2:13" ht="15">
      <c r="B28" s="57"/>
      <c r="C28" s="58" t="s">
        <v>93</v>
      </c>
      <c r="D28" s="58"/>
      <c r="K28" s="50"/>
    </row>
    <row r="29" spans="2:13" ht="15">
      <c r="B29" s="57"/>
      <c r="C29" s="40" t="s">
        <v>94</v>
      </c>
      <c r="D29" s="40"/>
      <c r="K29" s="50"/>
    </row>
    <row r="30" spans="2:13" ht="15">
      <c r="B30" s="60"/>
      <c r="C30" s="40" t="s">
        <v>95</v>
      </c>
      <c r="D30" s="40"/>
      <c r="K30" s="50"/>
    </row>
    <row r="31" spans="2:13" ht="15">
      <c r="B31" s="57"/>
      <c r="C31" s="40" t="s">
        <v>96</v>
      </c>
      <c r="D31" s="40"/>
      <c r="K31" s="50"/>
    </row>
    <row r="32" spans="2:13" ht="15">
      <c r="B32" s="61"/>
      <c r="C32" s="62" t="s">
        <v>97</v>
      </c>
      <c r="D32" s="62"/>
      <c r="E32" s="5"/>
      <c r="F32" s="5"/>
      <c r="G32" s="5"/>
      <c r="H32" s="5"/>
      <c r="I32" s="5"/>
      <c r="J32" s="5"/>
      <c r="K32" s="54"/>
    </row>
    <row r="33" spans="2:10" ht="65.25" customHeight="1">
      <c r="C33" s="973">
        <f>+'Congregate Meal Budget'!C2</f>
        <v>0</v>
      </c>
      <c r="D33" s="973"/>
      <c r="E33" s="973"/>
      <c r="F33" s="40"/>
      <c r="G33" s="974"/>
      <c r="H33" s="974"/>
      <c r="I33" s="974"/>
      <c r="J33" s="974"/>
    </row>
    <row r="34" spans="2:10">
      <c r="C34" s="867" t="s">
        <v>98</v>
      </c>
      <c r="D34" s="867"/>
      <c r="E34" s="867"/>
      <c r="F34" s="41"/>
      <c r="G34" s="854" t="s">
        <v>34</v>
      </c>
      <c r="H34" s="854"/>
      <c r="I34" s="854"/>
      <c r="J34" s="854"/>
    </row>
    <row r="35" spans="2:10">
      <c r="B35" s="41"/>
    </row>
    <row r="36" spans="2:10">
      <c r="B36" s="41"/>
    </row>
    <row r="37" spans="2:10" ht="15">
      <c r="C37" s="972"/>
      <c r="D37" s="972"/>
      <c r="E37" s="972"/>
      <c r="F37" s="40"/>
      <c r="G37" s="856"/>
      <c r="H37" s="856"/>
      <c r="I37" s="856"/>
      <c r="J37" s="856"/>
    </row>
    <row r="38" spans="2:10">
      <c r="C38" s="854" t="s">
        <v>36</v>
      </c>
      <c r="D38" s="854"/>
      <c r="E38" s="854"/>
      <c r="F38" s="42"/>
      <c r="G38" s="854" t="s">
        <v>35</v>
      </c>
      <c r="H38" s="854"/>
      <c r="I38" s="854"/>
      <c r="J38" s="854"/>
    </row>
    <row r="39" spans="2:10">
      <c r="B39" s="41"/>
    </row>
    <row r="40" spans="2:10">
      <c r="B40" s="41"/>
    </row>
    <row r="41" spans="2:10">
      <c r="B41" s="41"/>
    </row>
    <row r="42" spans="2:10" ht="20.25" customHeight="1">
      <c r="C42" s="41" t="s">
        <v>99</v>
      </c>
      <c r="D42" s="43"/>
      <c r="E42" s="44" t="s">
        <v>100</v>
      </c>
      <c r="F42" s="43"/>
      <c r="G42" s="44" t="s">
        <v>101</v>
      </c>
      <c r="H42" s="44"/>
      <c r="I42" s="44"/>
    </row>
    <row r="43" spans="2:10" ht="18.75" customHeight="1">
      <c r="C43" s="41" t="s">
        <v>102</v>
      </c>
      <c r="D43" s="43"/>
      <c r="E43" s="41" t="s">
        <v>103</v>
      </c>
      <c r="F43" s="43"/>
      <c r="G43" s="44" t="s">
        <v>104</v>
      </c>
      <c r="H43" s="44"/>
      <c r="I43" s="44"/>
    </row>
    <row r="44" spans="2:10" ht="20.25" customHeight="1">
      <c r="D44" s="43"/>
      <c r="E44" s="44" t="s">
        <v>105</v>
      </c>
      <c r="F44" s="43"/>
      <c r="G44" s="44" t="s">
        <v>106</v>
      </c>
      <c r="H44" s="44"/>
      <c r="I44" s="44"/>
    </row>
    <row r="45" spans="2:10">
      <c r="B45" s="41"/>
    </row>
  </sheetData>
  <sheetProtection formatCells="0" formatColumns="0" formatRows="0"/>
  <customSheetViews>
    <customSheetView guid="{DDFE7685-90A4-42DC-AFD9-89B5EC30420E}" showPageBreaks="1" showGridLines="0" fitToPage="1" printArea="1">
      <selection activeCell="F75" sqref="F75"/>
      <pageMargins left="0.7" right="0.7" top="0.75" bottom="0.75" header="0.3" footer="0.3"/>
      <pageSetup paperSize="5" scale="89" orientation="portrait" r:id="rId1"/>
    </customSheetView>
  </customSheetViews>
  <mergeCells count="14">
    <mergeCell ref="D2:H2"/>
    <mergeCell ref="C38:E38"/>
    <mergeCell ref="G38:J38"/>
    <mergeCell ref="C37:E37"/>
    <mergeCell ref="C33:E33"/>
    <mergeCell ref="G33:J33"/>
    <mergeCell ref="B4:K4"/>
    <mergeCell ref="G37:J37"/>
    <mergeCell ref="B6:E6"/>
    <mergeCell ref="G6:K6"/>
    <mergeCell ref="B5:K5"/>
    <mergeCell ref="C34:E34"/>
    <mergeCell ref="G34:J34"/>
    <mergeCell ref="D3:I3"/>
  </mergeCells>
  <pageMargins left="0.7" right="0.7" top="0.75" bottom="0.75" header="0.3" footer="0.3"/>
  <pageSetup paperSize="5" scale="8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3314" r:id="rId5" name="Check Box 2">
              <controlPr defaultSize="0" autoFill="0" autoLine="0" autoPict="0">
                <anchor moveWithCells="1">
                  <from>
                    <xdr:col>3</xdr:col>
                    <xdr:colOff>12700</xdr:colOff>
                    <xdr:row>43</xdr:row>
                    <xdr:rowOff>12700</xdr:rowOff>
                  </from>
                  <to>
                    <xdr:col>4</xdr:col>
                    <xdr:colOff>12700</xdr:colOff>
                    <xdr:row>43</xdr:row>
                    <xdr:rowOff>228600</xdr:rowOff>
                  </to>
                </anchor>
              </controlPr>
            </control>
          </mc:Choice>
        </mc:AlternateContent>
        <mc:AlternateContent xmlns:mc="http://schemas.openxmlformats.org/markup-compatibility/2006">
          <mc:Choice Requires="x14">
            <control shapeId="13316" r:id="rId6" name="Check Box 4">
              <controlPr defaultSize="0" autoFill="0" autoLine="0" autoPict="0">
                <anchor moveWithCells="1">
                  <from>
                    <xdr:col>3</xdr:col>
                    <xdr:colOff>12700</xdr:colOff>
                    <xdr:row>41</xdr:row>
                    <xdr:rowOff>31750</xdr:rowOff>
                  </from>
                  <to>
                    <xdr:col>4</xdr:col>
                    <xdr:colOff>12700</xdr:colOff>
                    <xdr:row>41</xdr:row>
                    <xdr:rowOff>247650</xdr:rowOff>
                  </to>
                </anchor>
              </controlPr>
            </control>
          </mc:Choice>
        </mc:AlternateContent>
        <mc:AlternateContent xmlns:mc="http://schemas.openxmlformats.org/markup-compatibility/2006">
          <mc:Choice Requires="x14">
            <control shapeId="13317" r:id="rId7" name="Check Box 5">
              <controlPr defaultSize="0" autoFill="0" autoLine="0" autoPict="0">
                <anchor moveWithCells="1">
                  <from>
                    <xdr:col>3</xdr:col>
                    <xdr:colOff>31750</xdr:colOff>
                    <xdr:row>42</xdr:row>
                    <xdr:rowOff>0</xdr:rowOff>
                  </from>
                  <to>
                    <xdr:col>4</xdr:col>
                    <xdr:colOff>31750</xdr:colOff>
                    <xdr:row>43</xdr:row>
                    <xdr:rowOff>12700</xdr:rowOff>
                  </to>
                </anchor>
              </controlPr>
            </control>
          </mc:Choice>
        </mc:AlternateContent>
        <mc:AlternateContent xmlns:mc="http://schemas.openxmlformats.org/markup-compatibility/2006">
          <mc:Choice Requires="x14">
            <control shapeId="13318" r:id="rId8" name="Check Box 6">
              <controlPr defaultSize="0" autoFill="0" autoLine="0" autoPict="0">
                <anchor moveWithCells="1">
                  <from>
                    <xdr:col>5</xdr:col>
                    <xdr:colOff>95250</xdr:colOff>
                    <xdr:row>41</xdr:row>
                    <xdr:rowOff>12700</xdr:rowOff>
                  </from>
                  <to>
                    <xdr:col>6</xdr:col>
                    <xdr:colOff>0</xdr:colOff>
                    <xdr:row>41</xdr:row>
                    <xdr:rowOff>228600</xdr:rowOff>
                  </to>
                </anchor>
              </controlPr>
            </control>
          </mc:Choice>
        </mc:AlternateContent>
        <mc:AlternateContent xmlns:mc="http://schemas.openxmlformats.org/markup-compatibility/2006">
          <mc:Choice Requires="x14">
            <control shapeId="13319" r:id="rId9" name="Check Box 7">
              <controlPr defaultSize="0" autoFill="0" autoLine="0" autoPict="0">
                <anchor moveWithCells="1">
                  <from>
                    <xdr:col>5</xdr:col>
                    <xdr:colOff>76200</xdr:colOff>
                    <xdr:row>42</xdr:row>
                    <xdr:rowOff>31750</xdr:rowOff>
                  </from>
                  <to>
                    <xdr:col>5</xdr:col>
                    <xdr:colOff>381000</xdr:colOff>
                    <xdr:row>43</xdr:row>
                    <xdr:rowOff>12700</xdr:rowOff>
                  </to>
                </anchor>
              </controlPr>
            </control>
          </mc:Choice>
        </mc:AlternateContent>
        <mc:AlternateContent xmlns:mc="http://schemas.openxmlformats.org/markup-compatibility/2006">
          <mc:Choice Requires="x14">
            <control shapeId="13320" r:id="rId10" name="Check Box 8">
              <controlPr defaultSize="0" autoFill="0" autoLine="0" autoPict="0">
                <anchor moveWithCells="1">
                  <from>
                    <xdr:col>5</xdr:col>
                    <xdr:colOff>76200</xdr:colOff>
                    <xdr:row>43</xdr:row>
                    <xdr:rowOff>31750</xdr:rowOff>
                  </from>
                  <to>
                    <xdr:col>5</xdr:col>
                    <xdr:colOff>381000</xdr:colOff>
                    <xdr:row>43</xdr:row>
                    <xdr:rowOff>247650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00B050"/>
    <pageSetUpPr fitToPage="1"/>
  </sheetPr>
  <dimension ref="A1:N50"/>
  <sheetViews>
    <sheetView showGridLines="0" topLeftCell="A27" zoomScaleNormal="100" workbookViewId="0">
      <selection activeCell="D32" sqref="D32:G32"/>
    </sheetView>
  </sheetViews>
  <sheetFormatPr defaultColWidth="9.1796875" defaultRowHeight="14"/>
  <cols>
    <col min="1" max="1" width="6.1796875" style="15" customWidth="1"/>
    <col min="2" max="2" width="11.453125" style="15" customWidth="1"/>
    <col min="3" max="3" width="11" style="15" customWidth="1"/>
    <col min="4" max="4" width="14.1796875" style="15" customWidth="1"/>
    <col min="5" max="5" width="23.7265625" style="15" customWidth="1"/>
    <col min="6" max="6" width="21.26953125" style="15" customWidth="1"/>
    <col min="7" max="7" width="23.453125" style="15" customWidth="1"/>
    <col min="8" max="8" width="3.453125" style="15" customWidth="1"/>
    <col min="9" max="16384" width="9.1796875" style="15"/>
  </cols>
  <sheetData>
    <row r="1" spans="1:8">
      <c r="C1" s="977">
        <f ca="1">NOW()</f>
        <v>45380.323058564813</v>
      </c>
      <c r="D1" s="977"/>
    </row>
    <row r="2" spans="1:8">
      <c r="C2" s="572" t="s">
        <v>388</v>
      </c>
      <c r="D2" s="978">
        <f>+'Provider Information'!D21</f>
        <v>0</v>
      </c>
      <c r="E2" s="978"/>
      <c r="F2" s="978"/>
      <c r="G2" s="978"/>
    </row>
    <row r="3" spans="1:8" ht="17.5">
      <c r="A3" s="198"/>
      <c r="B3" s="976" t="s">
        <v>247</v>
      </c>
      <c r="C3" s="976"/>
      <c r="D3" s="976"/>
      <c r="E3" s="976"/>
      <c r="F3" s="976"/>
      <c r="G3" s="976"/>
      <c r="H3" s="198"/>
    </row>
    <row r="4" spans="1:8">
      <c r="B4" s="981" t="s">
        <v>40</v>
      </c>
      <c r="C4" s="981"/>
      <c r="D4" s="981"/>
      <c r="E4" s="981"/>
      <c r="F4" s="981"/>
      <c r="G4" s="981"/>
      <c r="H4" s="198"/>
    </row>
    <row r="5" spans="1:8">
      <c r="B5" s="15" t="s">
        <v>41</v>
      </c>
      <c r="C5" s="907" t="str">
        <f>IF(ISBLANK('Provider Information'!F6),"",+'Provider Information'!F6)</f>
        <v/>
      </c>
      <c r="D5" s="908"/>
      <c r="E5" s="908"/>
    </row>
    <row r="7" spans="1:8">
      <c r="B7" s="909" t="s">
        <v>42</v>
      </c>
      <c r="C7" s="909"/>
      <c r="D7" s="892">
        <f>+G25</f>
        <v>0</v>
      </c>
      <c r="E7" s="893"/>
      <c r="F7" s="31"/>
      <c r="G7" s="176"/>
    </row>
    <row r="9" spans="1:8">
      <c r="B9" s="899" t="s">
        <v>445</v>
      </c>
      <c r="C9" s="899"/>
      <c r="D9" s="899"/>
      <c r="E9" s="899"/>
      <c r="F9" s="899"/>
      <c r="G9" s="899"/>
    </row>
    <row r="10" spans="1:8" ht="14.5" thickBot="1"/>
    <row r="11" spans="1:8" ht="14.5" thickTop="1">
      <c r="B11" s="17"/>
      <c r="C11" s="18"/>
      <c r="D11" s="18"/>
      <c r="E11" s="19"/>
      <c r="F11" s="20"/>
      <c r="G11" s="21"/>
    </row>
    <row r="12" spans="1:8">
      <c r="B12" s="900" t="s">
        <v>43</v>
      </c>
      <c r="C12" s="901"/>
      <c r="D12" s="901"/>
      <c r="E12" s="902"/>
      <c r="F12" s="22" t="s">
        <v>44</v>
      </c>
      <c r="G12" s="23" t="s">
        <v>75</v>
      </c>
    </row>
    <row r="13" spans="1:8">
      <c r="B13" s="903"/>
      <c r="C13" s="904"/>
      <c r="D13" s="904"/>
      <c r="E13" s="905"/>
      <c r="F13" s="37"/>
      <c r="G13" s="35"/>
    </row>
    <row r="14" spans="1:8">
      <c r="B14" s="894"/>
      <c r="C14" s="897"/>
      <c r="D14" s="897"/>
      <c r="E14" s="898"/>
      <c r="F14" s="34"/>
      <c r="G14" s="35"/>
    </row>
    <row r="15" spans="1:8">
      <c r="B15" s="894"/>
      <c r="C15" s="897"/>
      <c r="D15" s="897"/>
      <c r="E15" s="898"/>
      <c r="F15" s="34"/>
      <c r="G15" s="35"/>
    </row>
    <row r="16" spans="1:8">
      <c r="B16" s="894"/>
      <c r="C16" s="897"/>
      <c r="D16" s="897"/>
      <c r="E16" s="898"/>
      <c r="F16" s="34"/>
      <c r="G16" s="35"/>
    </row>
    <row r="17" spans="2:10">
      <c r="B17" s="894"/>
      <c r="C17" s="897"/>
      <c r="D17" s="897"/>
      <c r="E17" s="898"/>
      <c r="F17" s="34"/>
      <c r="G17" s="35"/>
    </row>
    <row r="18" spans="2:10">
      <c r="B18" s="894"/>
      <c r="C18" s="897"/>
      <c r="D18" s="897"/>
      <c r="E18" s="898"/>
      <c r="F18" s="34"/>
      <c r="G18" s="35"/>
    </row>
    <row r="19" spans="2:10">
      <c r="B19" s="894"/>
      <c r="C19" s="897"/>
      <c r="D19" s="897"/>
      <c r="E19" s="898"/>
      <c r="F19" s="34"/>
      <c r="G19" s="35"/>
    </row>
    <row r="20" spans="2:10">
      <c r="B20" s="894"/>
      <c r="C20" s="897"/>
      <c r="D20" s="897"/>
      <c r="E20" s="898"/>
      <c r="F20" s="34"/>
      <c r="G20" s="35"/>
      <c r="J20" s="24"/>
    </row>
    <row r="21" spans="2:10">
      <c r="B21" s="894"/>
      <c r="C21" s="895"/>
      <c r="D21" s="895"/>
      <c r="E21" s="896"/>
      <c r="F21" s="34"/>
      <c r="G21" s="35"/>
    </row>
    <row r="22" spans="2:10">
      <c r="B22" s="894"/>
      <c r="C22" s="897"/>
      <c r="D22" s="897"/>
      <c r="E22" s="898"/>
      <c r="F22" s="34"/>
      <c r="G22" s="35"/>
    </row>
    <row r="23" spans="2:10">
      <c r="B23" s="894"/>
      <c r="C23" s="897"/>
      <c r="D23" s="897"/>
      <c r="E23" s="898"/>
      <c r="F23" s="34"/>
      <c r="G23" s="35"/>
    </row>
    <row r="24" spans="2:10">
      <c r="B24" s="894"/>
      <c r="C24" s="897"/>
      <c r="D24" s="897"/>
      <c r="E24" s="898"/>
      <c r="F24" s="34"/>
      <c r="G24" s="35"/>
    </row>
    <row r="25" spans="2:10" ht="14.5" thickBot="1">
      <c r="B25" s="912"/>
      <c r="C25" s="913"/>
      <c r="D25" s="913"/>
      <c r="E25" s="914"/>
      <c r="F25" s="25" t="s">
        <v>45</v>
      </c>
      <c r="G25" s="26">
        <f>SUM(G13:G24)</f>
        <v>0</v>
      </c>
    </row>
    <row r="26" spans="2:10" ht="14.5" thickTop="1"/>
    <row r="27" spans="2:10" ht="30" customHeight="1">
      <c r="B27" s="27" t="s">
        <v>46</v>
      </c>
      <c r="C27" s="910" t="s">
        <v>47</v>
      </c>
      <c r="D27" s="915"/>
      <c r="E27" s="915"/>
      <c r="F27" s="915"/>
      <c r="G27" s="24"/>
    </row>
    <row r="29" spans="2:10">
      <c r="B29" s="15" t="s">
        <v>48</v>
      </c>
    </row>
    <row r="31" spans="2:10">
      <c r="B31" s="15" t="s">
        <v>49</v>
      </c>
      <c r="C31" s="29" t="s">
        <v>0</v>
      </c>
      <c r="D31" s="15" t="s">
        <v>50</v>
      </c>
    </row>
    <row r="32" spans="2:10" ht="30.75" customHeight="1">
      <c r="C32" s="30" t="s">
        <v>2</v>
      </c>
      <c r="D32" s="910" t="s">
        <v>76</v>
      </c>
      <c r="E32" s="910"/>
      <c r="F32" s="910"/>
      <c r="G32" s="910"/>
      <c r="H32" s="28"/>
    </row>
    <row r="34" spans="2:14">
      <c r="B34" s="15" t="s">
        <v>51</v>
      </c>
      <c r="C34" s="29" t="s">
        <v>0</v>
      </c>
      <c r="D34" s="15" t="s">
        <v>52</v>
      </c>
      <c r="J34" s="910"/>
      <c r="K34" s="910"/>
      <c r="L34" s="910"/>
      <c r="M34" s="910"/>
      <c r="N34" s="910"/>
    </row>
    <row r="35" spans="2:14" ht="60" customHeight="1">
      <c r="C35" s="30" t="s">
        <v>2</v>
      </c>
      <c r="D35" s="980" t="s">
        <v>463</v>
      </c>
      <c r="E35" s="980"/>
      <c r="F35" s="980"/>
      <c r="G35" s="980"/>
    </row>
    <row r="36" spans="2:14">
      <c r="C36" s="31"/>
    </row>
    <row r="37" spans="2:14">
      <c r="C37" s="31"/>
      <c r="F37" s="16"/>
    </row>
    <row r="38" spans="2:14">
      <c r="B38" s="32" t="s">
        <v>77</v>
      </c>
    </row>
    <row r="39" spans="2:14">
      <c r="B39" s="32" t="s">
        <v>53</v>
      </c>
    </row>
    <row r="41" spans="2:14">
      <c r="B41" s="15" t="s">
        <v>54</v>
      </c>
      <c r="C41" s="29" t="s">
        <v>0</v>
      </c>
      <c r="D41" s="15" t="s">
        <v>55</v>
      </c>
    </row>
    <row r="42" spans="2:14">
      <c r="C42" s="29" t="s">
        <v>2</v>
      </c>
      <c r="D42" s="15" t="s">
        <v>56</v>
      </c>
    </row>
    <row r="44" spans="2:14" ht="45" customHeight="1">
      <c r="B44" s="917" t="str">
        <f>+'Provider Total Budget by Serv'!C2</f>
        <v/>
      </c>
      <c r="C44" s="917"/>
      <c r="D44" s="917"/>
      <c r="F44" s="916">
        <f>'Provider Information'!$F$13</f>
        <v>0</v>
      </c>
      <c r="G44" s="916"/>
    </row>
    <row r="45" spans="2:14">
      <c r="B45" s="919" t="s">
        <v>57</v>
      </c>
      <c r="C45" s="919"/>
      <c r="D45" s="919"/>
      <c r="E45" s="16"/>
      <c r="F45" s="918" t="s">
        <v>34</v>
      </c>
      <c r="G45" s="918"/>
      <c r="I45" s="14"/>
    </row>
    <row r="47" spans="2:14">
      <c r="B47" s="920"/>
      <c r="C47" s="920"/>
      <c r="D47" s="920"/>
      <c r="F47" s="979"/>
      <c r="G47" s="979"/>
    </row>
    <row r="48" spans="2:14">
      <c r="B48" s="918" t="s">
        <v>36</v>
      </c>
      <c r="C48" s="919"/>
      <c r="D48" s="919"/>
      <c r="E48" s="16"/>
      <c r="F48" s="918" t="s">
        <v>35</v>
      </c>
      <c r="G48" s="918"/>
      <c r="I48" s="14"/>
    </row>
    <row r="49" spans="2:9">
      <c r="B49" s="16"/>
      <c r="C49" s="16"/>
      <c r="D49" s="16"/>
      <c r="E49" s="16"/>
      <c r="G49" s="14"/>
      <c r="H49" s="14"/>
      <c r="I49" s="14"/>
    </row>
    <row r="50" spans="2:9">
      <c r="B50" s="899"/>
      <c r="C50" s="899"/>
      <c r="D50" s="899"/>
      <c r="E50" s="899"/>
      <c r="F50" s="899"/>
      <c r="G50" s="899"/>
      <c r="H50" s="899"/>
    </row>
  </sheetData>
  <sheetProtection formatCells="0"/>
  <customSheetViews>
    <customSheetView guid="{DDFE7685-90A4-42DC-AFD9-89B5EC30420E}" showPageBreaks="1" showGridLines="0" fitToPage="1" printArea="1">
      <selection activeCell="F75" sqref="F75"/>
      <pageMargins left="0.7" right="0.7" top="0.75" bottom="0.75" header="0.3" footer="0.3"/>
      <pageSetup paperSize="5" scale="10" orientation="portrait" r:id="rId1"/>
    </customSheetView>
  </customSheetViews>
  <mergeCells count="35">
    <mergeCell ref="C27:F27"/>
    <mergeCell ref="D32:G32"/>
    <mergeCell ref="B22:E22"/>
    <mergeCell ref="B23:E23"/>
    <mergeCell ref="J34:N34"/>
    <mergeCell ref="B3:G3"/>
    <mergeCell ref="B4:G4"/>
    <mergeCell ref="B9:G9"/>
    <mergeCell ref="B12:E12"/>
    <mergeCell ref="B13:E13"/>
    <mergeCell ref="D7:E7"/>
    <mergeCell ref="C5:E5"/>
    <mergeCell ref="B7:C7"/>
    <mergeCell ref="B20:E20"/>
    <mergeCell ref="B21:E21"/>
    <mergeCell ref="B14:E14"/>
    <mergeCell ref="B15:E15"/>
    <mergeCell ref="B16:E16"/>
    <mergeCell ref="B17:E17"/>
    <mergeCell ref="C1:D1"/>
    <mergeCell ref="D2:G2"/>
    <mergeCell ref="B50:H50"/>
    <mergeCell ref="B48:D48"/>
    <mergeCell ref="F48:G48"/>
    <mergeCell ref="B45:D45"/>
    <mergeCell ref="F45:G45"/>
    <mergeCell ref="B24:E24"/>
    <mergeCell ref="B25:E25"/>
    <mergeCell ref="B47:D47"/>
    <mergeCell ref="F44:G44"/>
    <mergeCell ref="B44:D44"/>
    <mergeCell ref="F47:G47"/>
    <mergeCell ref="D35:G35"/>
    <mergeCell ref="B18:E18"/>
    <mergeCell ref="B19:E19"/>
  </mergeCells>
  <dataValidations count="2">
    <dataValidation operator="greaterThan" allowBlank="1" showInputMessage="1" showErrorMessage="1" sqref="F13:F24" xr:uid="{00000000-0002-0000-0B00-000000000000}"/>
    <dataValidation type="decimal" allowBlank="1" showInputMessage="1" showErrorMessage="1" sqref="G13:G24" xr:uid="{00000000-0002-0000-0B00-000001000000}">
      <formula1>0</formula1>
      <formula2>15000000</formula2>
    </dataValidation>
  </dataValidations>
  <hyperlinks>
    <hyperlink ref="C27" r:id="rId2" display="http://www.irs.gov/pub/irs-pdf/p561.pdf" xr:uid="{00000000-0004-0000-0B00-000000000000}"/>
    <hyperlink ref="D35:G35" r:id="rId3" display="Documented prevailing wage in the Area. For prevailing wage information visit the Texas Workforce Commission’s website at  https://www.twc.texas.gov/news/efte/prevailing_wage_issues.html" xr:uid="{FC4B139D-5371-4080-BA68-151BCC0A7CD1}"/>
  </hyperlinks>
  <pageMargins left="0.7" right="0.7" top="0.75" bottom="0.75" header="0.3" footer="0.3"/>
  <pageSetup paperSize="5" scale="86" orientation="portrait"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theme="9" tint="-0.249977111117893"/>
    <pageSetUpPr fitToPage="1"/>
  </sheetPr>
  <dimension ref="A1:U121"/>
  <sheetViews>
    <sheetView topLeftCell="I6" zoomScaleNormal="100" workbookViewId="0">
      <selection activeCell="M9" sqref="M9"/>
    </sheetView>
  </sheetViews>
  <sheetFormatPr defaultColWidth="9.1796875" defaultRowHeight="12.5"/>
  <cols>
    <col min="1" max="1" width="3.54296875" style="273" customWidth="1"/>
    <col min="2" max="2" width="34.81640625" style="273" customWidth="1"/>
    <col min="3" max="3" width="11.7265625" style="410" customWidth="1"/>
    <col min="4" max="4" width="10.1796875" style="410" customWidth="1"/>
    <col min="5" max="5" width="13.1796875" style="410" customWidth="1"/>
    <col min="6" max="6" width="11.7265625" style="411" customWidth="1"/>
    <col min="7" max="7" width="13.7265625" style="410" customWidth="1"/>
    <col min="8" max="8" width="3.453125" style="277" customWidth="1"/>
    <col min="9" max="9" width="21.453125" style="410" bestFit="1" customWidth="1"/>
    <col min="10" max="10" width="21.453125" style="410" customWidth="1"/>
    <col min="11" max="11" width="23.1796875" style="407" customWidth="1"/>
    <col min="12" max="12" width="3.453125" style="277" customWidth="1"/>
    <col min="13" max="13" width="48.54296875" style="277" customWidth="1"/>
    <col min="14" max="14" width="14.54296875" style="277" customWidth="1"/>
    <col min="15" max="15" width="4.54296875" style="248" customWidth="1"/>
    <col min="16" max="18" width="15.7265625" style="248" customWidth="1"/>
    <col min="19" max="16384" width="9.1796875" style="248"/>
  </cols>
  <sheetData>
    <row r="1" spans="1:15" ht="18" customHeight="1">
      <c r="A1" s="507"/>
      <c r="B1" s="732" t="str">
        <f>+'Provider Total Budget by Serv'!J4</f>
        <v>Participant Assessment</v>
      </c>
      <c r="C1" s="732"/>
      <c r="D1" s="732"/>
      <c r="E1" s="732"/>
      <c r="F1" s="732"/>
      <c r="G1" s="732"/>
      <c r="H1" s="732"/>
      <c r="I1" s="732"/>
      <c r="J1" s="732"/>
      <c r="K1" s="732"/>
      <c r="L1" s="732"/>
      <c r="M1" s="732"/>
      <c r="N1" s="732"/>
      <c r="O1" s="1011"/>
    </row>
    <row r="2" spans="1:15" ht="12.75" customHeight="1">
      <c r="A2" s="510"/>
      <c r="B2" s="573" t="s">
        <v>26</v>
      </c>
      <c r="C2" s="814">
        <f>'Provider Information'!$F$6</f>
        <v>0</v>
      </c>
      <c r="D2" s="814"/>
      <c r="E2" s="814"/>
      <c r="F2" s="814"/>
      <c r="G2" s="815"/>
      <c r="H2" s="1014"/>
      <c r="I2" s="933" t="s">
        <v>255</v>
      </c>
      <c r="J2" s="933"/>
      <c r="K2" s="933"/>
      <c r="L2" s="933"/>
      <c r="M2" s="933"/>
      <c r="N2" s="933"/>
      <c r="O2" s="1012"/>
    </row>
    <row r="3" spans="1:15" ht="12.75" customHeight="1">
      <c r="A3" s="510"/>
      <c r="B3" s="572" t="s">
        <v>388</v>
      </c>
      <c r="C3" s="780">
        <f>+'Provider Information'!D21</f>
        <v>0</v>
      </c>
      <c r="D3" s="780"/>
      <c r="E3" s="780"/>
      <c r="F3" s="780"/>
      <c r="G3" s="816"/>
      <c r="H3" s="1015"/>
      <c r="I3" s="936"/>
      <c r="J3" s="936"/>
      <c r="K3" s="936"/>
      <c r="L3" s="936"/>
      <c r="M3" s="936"/>
      <c r="N3" s="936"/>
      <c r="O3" s="1012"/>
    </row>
    <row r="4" spans="1:15" ht="12.75" customHeight="1">
      <c r="A4" s="510"/>
      <c r="B4" s="575"/>
      <c r="C4" s="817"/>
      <c r="D4" s="817"/>
      <c r="E4" s="817"/>
      <c r="F4" s="817"/>
      <c r="G4" s="818"/>
      <c r="H4" s="1015"/>
      <c r="I4" s="939"/>
      <c r="J4" s="939"/>
      <c r="K4" s="939"/>
      <c r="L4" s="939"/>
      <c r="M4" s="939"/>
      <c r="N4" s="939"/>
      <c r="O4" s="1012"/>
    </row>
    <row r="5" spans="1:15" ht="12.75" customHeight="1">
      <c r="A5" s="511"/>
      <c r="B5" s="610"/>
      <c r="C5" s="977">
        <f ca="1">NOW()</f>
        <v>45380.323058564813</v>
      </c>
      <c r="D5" s="977"/>
      <c r="E5" s="325"/>
      <c r="F5" s="325"/>
      <c r="G5" s="608"/>
      <c r="H5" s="319"/>
      <c r="I5" s="831"/>
      <c r="J5" s="831"/>
      <c r="K5" s="831"/>
      <c r="L5" s="320"/>
      <c r="M5" s="471"/>
      <c r="N5" s="536"/>
      <c r="O5" s="1012"/>
    </row>
    <row r="6" spans="1:15" ht="18" customHeight="1">
      <c r="A6" s="512"/>
      <c r="B6" s="848" t="s">
        <v>327</v>
      </c>
      <c r="C6" s="850">
        <v>2023</v>
      </c>
      <c r="D6" s="827"/>
      <c r="E6" s="827"/>
      <c r="F6" s="827"/>
      <c r="G6" s="828"/>
      <c r="H6" s="321"/>
      <c r="I6" s="832" t="s">
        <v>257</v>
      </c>
      <c r="J6" s="833"/>
      <c r="K6" s="833"/>
      <c r="L6" s="321"/>
      <c r="M6" s="943" t="s">
        <v>258</v>
      </c>
      <c r="N6" s="944"/>
      <c r="O6" s="1012"/>
    </row>
    <row r="7" spans="1:15" ht="18" customHeight="1">
      <c r="A7" s="512"/>
      <c r="B7" s="849"/>
      <c r="C7" s="851"/>
      <c r="D7" s="829"/>
      <c r="E7" s="829"/>
      <c r="F7" s="829"/>
      <c r="G7" s="830"/>
      <c r="H7" s="322"/>
      <c r="I7" s="834"/>
      <c r="J7" s="835"/>
      <c r="K7" s="835"/>
      <c r="L7" s="322"/>
      <c r="M7" s="943"/>
      <c r="N7" s="944"/>
      <c r="O7" s="1012"/>
    </row>
    <row r="8" spans="1:15" ht="12.75" customHeight="1">
      <c r="A8" s="511"/>
      <c r="B8" s="984"/>
      <c r="C8" s="984"/>
      <c r="D8" s="984"/>
      <c r="E8" s="984"/>
      <c r="F8" s="984"/>
      <c r="G8" s="984"/>
      <c r="H8" s="323"/>
      <c r="I8" s="831"/>
      <c r="J8" s="831"/>
      <c r="K8" s="831"/>
      <c r="L8" s="323"/>
      <c r="M8" s="471"/>
      <c r="N8" s="536"/>
      <c r="O8" s="1012"/>
    </row>
    <row r="9" spans="1:15" s="473" customFormat="1" ht="12.75" customHeight="1">
      <c r="A9" s="513"/>
      <c r="B9" s="959" t="s">
        <v>203</v>
      </c>
      <c r="C9" s="927" t="s">
        <v>256</v>
      </c>
      <c r="D9" s="961" t="s">
        <v>250</v>
      </c>
      <c r="E9" s="927" t="s">
        <v>251</v>
      </c>
      <c r="F9" s="923" t="s">
        <v>252</v>
      </c>
      <c r="G9" s="985" t="s">
        <v>253</v>
      </c>
      <c r="H9" s="472"/>
      <c r="I9" s="1018" t="s">
        <v>254</v>
      </c>
      <c r="J9" s="945" t="s">
        <v>259</v>
      </c>
      <c r="K9" s="985" t="s">
        <v>253</v>
      </c>
      <c r="L9" s="472"/>
      <c r="M9" s="668" t="s">
        <v>454</v>
      </c>
      <c r="N9" s="669">
        <v>2.7E-2</v>
      </c>
      <c r="O9" s="1012"/>
    </row>
    <row r="10" spans="1:15" s="473" customFormat="1" ht="12.75" customHeight="1">
      <c r="A10" s="513"/>
      <c r="B10" s="988"/>
      <c r="C10" s="809"/>
      <c r="D10" s="811"/>
      <c r="E10" s="809"/>
      <c r="F10" s="813"/>
      <c r="G10" s="986"/>
      <c r="H10" s="472"/>
      <c r="I10" s="1019"/>
      <c r="J10" s="847"/>
      <c r="K10" s="986"/>
      <c r="L10" s="472"/>
      <c r="M10" s="668" t="s">
        <v>467</v>
      </c>
      <c r="N10" s="669">
        <v>2.4E-2</v>
      </c>
      <c r="O10" s="1012"/>
    </row>
    <row r="11" spans="1:15" s="473" customFormat="1">
      <c r="A11" s="513"/>
      <c r="B11" s="988"/>
      <c r="C11" s="809"/>
      <c r="D11" s="811"/>
      <c r="E11" s="809"/>
      <c r="F11" s="813"/>
      <c r="G11" s="986"/>
      <c r="H11" s="472"/>
      <c r="I11" s="1019"/>
      <c r="J11" s="847"/>
      <c r="K11" s="986"/>
      <c r="L11" s="472"/>
      <c r="M11" s="668" t="s">
        <v>304</v>
      </c>
      <c r="N11" s="667">
        <f>SUM(N9:N10)</f>
        <v>5.1000000000000004E-2</v>
      </c>
      <c r="O11" s="1012"/>
    </row>
    <row r="12" spans="1:15" s="73" customFormat="1" ht="78" customHeight="1">
      <c r="A12" s="513"/>
      <c r="B12" s="989"/>
      <c r="C12" s="928"/>
      <c r="D12" s="962"/>
      <c r="E12" s="928"/>
      <c r="F12" s="924"/>
      <c r="G12" s="987"/>
      <c r="H12" s="472"/>
      <c r="I12" s="1020"/>
      <c r="J12" s="946"/>
      <c r="K12" s="987"/>
      <c r="L12" s="472"/>
      <c r="M12" s="1016" t="s">
        <v>416</v>
      </c>
      <c r="N12" s="1017"/>
      <c r="O12" s="1012"/>
    </row>
    <row r="13" spans="1:15" s="73" customFormat="1" ht="12.75" customHeight="1">
      <c r="A13" s="513"/>
      <c r="B13" s="785" t="s">
        <v>230</v>
      </c>
      <c r="C13" s="825"/>
      <c r="D13" s="825"/>
      <c r="E13" s="825"/>
      <c r="F13" s="825"/>
      <c r="G13" s="825"/>
      <c r="H13" s="472"/>
      <c r="I13" s="474"/>
      <c r="J13" s="474"/>
      <c r="K13" s="475"/>
      <c r="L13" s="472"/>
      <c r="M13" s="471"/>
      <c r="N13" s="536"/>
      <c r="O13" s="1012"/>
    </row>
    <row r="14" spans="1:15" s="73" customFormat="1" ht="12.75" customHeight="1">
      <c r="A14" s="514"/>
      <c r="B14" s="92" t="s">
        <v>204</v>
      </c>
      <c r="C14" s="67"/>
      <c r="D14" s="335"/>
      <c r="E14" s="106">
        <f>+D14-C14</f>
        <v>0</v>
      </c>
      <c r="F14" s="336">
        <f>IF(+C14+D14=0,0,(IF(AND(+C14=0,D14&gt;0),1,(IF(AND(+C14&gt;0,D14=0),-1,+C14/+D14-1)))))</f>
        <v>0</v>
      </c>
      <c r="G14" s="476"/>
      <c r="H14" s="337"/>
      <c r="I14" s="338">
        <f>+'Provider Total Budget by Serv'!J17+'Provider Total Budget by Serv'!J29</f>
        <v>0</v>
      </c>
      <c r="J14" s="339">
        <f>IF(I14+C14=0,0,(IF(AND(I14=0,C14&gt;0),-1,(IF(AND(I14&gt;0,C14=0),1,+I14/C14-1)))))</f>
        <v>0</v>
      </c>
      <c r="K14" s="477"/>
      <c r="L14" s="337"/>
      <c r="M14" s="995"/>
      <c r="N14" s="996"/>
      <c r="O14" s="1012"/>
    </row>
    <row r="15" spans="1:15" s="73" customFormat="1" ht="12.75" customHeight="1">
      <c r="A15" s="514"/>
      <c r="B15" s="93" t="s">
        <v>205</v>
      </c>
      <c r="C15" s="69"/>
      <c r="D15" s="341"/>
      <c r="E15" s="342">
        <f>+D15-C15</f>
        <v>0</v>
      </c>
      <c r="F15" s="343">
        <f t="shared" ref="F15:F16" si="0">IF(+C15+D15=0,0,(IF(AND(+C15=0,D15&gt;0),1,(IF(AND(+C15&gt;0,D15=0),-1,+C15/+D15-1)))))</f>
        <v>0</v>
      </c>
      <c r="G15" s="478"/>
      <c r="H15" s="313"/>
      <c r="I15" s="167">
        <f>+'Provider Total Budget by Serv'!J36</f>
        <v>0</v>
      </c>
      <c r="J15" s="339">
        <f>IF(I15+C15=0,0,(IF(AND(I15=0,C15&gt;0),-1,(IF(AND(I15&gt;0,C15=0),1,+I15/C15-1)))))</f>
        <v>0</v>
      </c>
      <c r="K15" s="80"/>
      <c r="L15" s="313"/>
      <c r="M15" s="997"/>
      <c r="N15" s="998"/>
      <c r="O15" s="1012"/>
    </row>
    <row r="16" spans="1:15" s="73" customFormat="1" ht="12.75" customHeight="1">
      <c r="A16" s="514"/>
      <c r="B16" s="93" t="s">
        <v>1</v>
      </c>
      <c r="C16" s="75">
        <f>SUM(C14:C15)</f>
        <v>0</v>
      </c>
      <c r="D16" s="344">
        <f>SUM(D14:D15)</f>
        <v>0</v>
      </c>
      <c r="E16" s="106">
        <f>+D16-C16</f>
        <v>0</v>
      </c>
      <c r="F16" s="345">
        <f t="shared" si="0"/>
        <v>0</v>
      </c>
      <c r="G16" s="479">
        <f>IF(AND(C16&gt;0,C$80&gt;0),+C16/C$80,0)</f>
        <v>0</v>
      </c>
      <c r="H16" s="313"/>
      <c r="I16" s="168">
        <f>SUM(I14:I15)</f>
        <v>0</v>
      </c>
      <c r="J16" s="480">
        <f>IF(I16+C16=0,0,(IF(AND(I16=0,C16&gt;0),-1,(IF(AND(I16&gt;0,C16=0),1,+I16/C16-1)))))</f>
        <v>0</v>
      </c>
      <c r="K16" s="481">
        <f>IF(AND(I16&gt;0,I$80&gt;0),+I16/I$80,0)</f>
        <v>0</v>
      </c>
      <c r="L16" s="313"/>
      <c r="M16" s="999"/>
      <c r="N16" s="1000"/>
      <c r="O16" s="1012"/>
    </row>
    <row r="17" spans="1:15" s="73" customFormat="1" ht="12.75" customHeight="1">
      <c r="A17" s="513"/>
      <c r="B17" s="725" t="s">
        <v>237</v>
      </c>
      <c r="C17" s="725"/>
      <c r="D17" s="725"/>
      <c r="E17" s="725"/>
      <c r="F17" s="725"/>
      <c r="G17" s="785"/>
      <c r="H17" s="313"/>
      <c r="I17" s="474"/>
      <c r="J17" s="474"/>
      <c r="K17" s="475"/>
      <c r="L17" s="313"/>
      <c r="M17" s="600"/>
      <c r="N17" s="601"/>
      <c r="O17" s="1012"/>
    </row>
    <row r="18" spans="1:15" s="73" customFormat="1" ht="12.75" customHeight="1">
      <c r="A18" s="514"/>
      <c r="B18" s="91" t="s">
        <v>204</v>
      </c>
      <c r="C18" s="67"/>
      <c r="D18" s="352"/>
      <c r="E18" s="106">
        <f>+D18-C18</f>
        <v>0</v>
      </c>
      <c r="F18" s="336">
        <f t="shared" ref="F18:F22" si="1">IF(+C18+D18=0,0,(IF(AND(+C18=0,D18&gt;0),1,(IF(AND(+C18&gt;0,D18=0),-1,+C18/+D18-1)))))</f>
        <v>0</v>
      </c>
      <c r="G18" s="482"/>
      <c r="H18" s="313"/>
      <c r="I18" s="548"/>
      <c r="J18" s="199"/>
      <c r="K18" s="81"/>
      <c r="L18" s="313"/>
      <c r="M18" s="995"/>
      <c r="N18" s="996"/>
      <c r="O18" s="1012"/>
    </row>
    <row r="19" spans="1:15" s="73" customFormat="1" ht="12.75" customHeight="1">
      <c r="A19" s="514"/>
      <c r="B19" s="92" t="s">
        <v>205</v>
      </c>
      <c r="C19" s="68"/>
      <c r="D19" s="354"/>
      <c r="E19" s="106">
        <f>+D19-C19</f>
        <v>0</v>
      </c>
      <c r="F19" s="336">
        <f t="shared" si="1"/>
        <v>0</v>
      </c>
      <c r="G19" s="108"/>
      <c r="H19" s="313"/>
      <c r="I19" s="518"/>
      <c r="J19" s="177"/>
      <c r="K19" s="82"/>
      <c r="L19" s="313"/>
      <c r="M19" s="997"/>
      <c r="N19" s="998"/>
      <c r="O19" s="1012"/>
    </row>
    <row r="20" spans="1:15" s="73" customFormat="1" ht="12.75" customHeight="1">
      <c r="A20" s="514"/>
      <c r="B20" s="92" t="s">
        <v>208</v>
      </c>
      <c r="C20" s="68"/>
      <c r="D20" s="354"/>
      <c r="E20" s="106">
        <f>+D20-C20</f>
        <v>0</v>
      </c>
      <c r="F20" s="336">
        <f t="shared" si="1"/>
        <v>0</v>
      </c>
      <c r="G20" s="108"/>
      <c r="H20" s="313"/>
      <c r="I20" s="518"/>
      <c r="J20" s="177"/>
      <c r="K20" s="82"/>
      <c r="L20" s="313"/>
      <c r="M20" s="997"/>
      <c r="N20" s="998"/>
      <c r="O20" s="1012"/>
    </row>
    <row r="21" spans="1:15" s="73" customFormat="1" ht="12.75" customHeight="1">
      <c r="A21" s="514"/>
      <c r="B21" s="93" t="s">
        <v>206</v>
      </c>
      <c r="C21" s="69"/>
      <c r="D21" s="341"/>
      <c r="E21" s="342">
        <f>+D21-C21</f>
        <v>0</v>
      </c>
      <c r="F21" s="355">
        <f t="shared" si="1"/>
        <v>0</v>
      </c>
      <c r="G21" s="478"/>
      <c r="H21" s="313"/>
      <c r="I21" s="549"/>
      <c r="J21" s="178"/>
      <c r="K21" s="80"/>
      <c r="L21" s="313"/>
      <c r="M21" s="997"/>
      <c r="N21" s="998"/>
      <c r="O21" s="1012"/>
    </row>
    <row r="22" spans="1:15" s="73" customFormat="1" ht="12.75" customHeight="1">
      <c r="A22" s="514"/>
      <c r="B22" s="93" t="s">
        <v>1</v>
      </c>
      <c r="C22" s="75">
        <f>SUM(C18:C21)</f>
        <v>0</v>
      </c>
      <c r="D22" s="344">
        <f>SUM(D18:D21)</f>
        <v>0</v>
      </c>
      <c r="E22" s="106">
        <f>+D22-C22</f>
        <v>0</v>
      </c>
      <c r="F22" s="345">
        <f t="shared" si="1"/>
        <v>0</v>
      </c>
      <c r="G22" s="478">
        <f>IF(AND(C22&gt;0,C$80&gt;0),+C22/C$80,0)</f>
        <v>0</v>
      </c>
      <c r="H22" s="313"/>
      <c r="I22" s="168">
        <f>SUM(I18:I21)</f>
        <v>0</v>
      </c>
      <c r="J22" s="202"/>
      <c r="K22" s="481">
        <f>IF(AND(I22&gt;0,I$80&gt;0),+I22/I$80,0)</f>
        <v>0</v>
      </c>
      <c r="L22" s="313"/>
      <c r="M22" s="999"/>
      <c r="N22" s="1000"/>
      <c r="O22" s="1012"/>
    </row>
    <row r="23" spans="1:15" s="73" customFormat="1" ht="12.75" customHeight="1">
      <c r="A23" s="513"/>
      <c r="B23" s="725" t="s">
        <v>231</v>
      </c>
      <c r="C23" s="725"/>
      <c r="D23" s="725"/>
      <c r="E23" s="725"/>
      <c r="F23" s="725"/>
      <c r="G23" s="785"/>
      <c r="H23" s="313"/>
      <c r="I23" s="474"/>
      <c r="J23" s="474"/>
      <c r="K23" s="475"/>
      <c r="L23" s="313"/>
      <c r="M23" s="600"/>
      <c r="N23" s="601"/>
      <c r="O23" s="1012"/>
    </row>
    <row r="24" spans="1:15" s="73" customFormat="1" ht="12.75" customHeight="1">
      <c r="A24" s="514"/>
      <c r="B24" s="92" t="s">
        <v>206</v>
      </c>
      <c r="C24" s="67"/>
      <c r="D24" s="356"/>
      <c r="E24" s="106">
        <f>+D24-C24</f>
        <v>0</v>
      </c>
      <c r="F24" s="107">
        <f t="shared" ref="F24:F27" si="2">IF(+C24+D24=0,0,(IF(AND(+C24=0,D24&gt;0),1,(IF(AND(+C24&gt;0,D24=0),-1,+C24/+D24-1)))))</f>
        <v>0</v>
      </c>
      <c r="G24" s="482"/>
      <c r="H24" s="313"/>
      <c r="I24" s="166">
        <f>+'Provider Total Budget by Serv'!J43</f>
        <v>0</v>
      </c>
      <c r="J24" s="339">
        <f>IF(I24+C24=0,0,(IF(AND(I24=0,C24&gt;0),-1,(IF(AND(I24&gt;0,C24=0),1,+I24/C24-1)))))</f>
        <v>0</v>
      </c>
      <c r="K24" s="200"/>
      <c r="L24" s="313"/>
      <c r="M24" s="995"/>
      <c r="N24" s="996"/>
      <c r="O24" s="1012"/>
    </row>
    <row r="25" spans="1:15" s="73" customFormat="1" ht="12.75" customHeight="1">
      <c r="A25" s="514"/>
      <c r="B25" s="92" t="s">
        <v>207</v>
      </c>
      <c r="C25" s="68"/>
      <c r="D25" s="105"/>
      <c r="E25" s="106">
        <f>+D25-C25</f>
        <v>0</v>
      </c>
      <c r="F25" s="107">
        <f t="shared" si="2"/>
        <v>0</v>
      </c>
      <c r="G25" s="108"/>
      <c r="H25" s="313"/>
      <c r="I25" s="518">
        <f>+'Provider Total Budget by Serv'!J48</f>
        <v>0</v>
      </c>
      <c r="J25" s="339">
        <f>IF(I25+C25=0,0,(IF(AND(I25=0,C25&gt;0),-1,(IF(AND(I25&gt;0,C25=0),1,+I25/C25-1)))))</f>
        <v>0</v>
      </c>
      <c r="K25" s="83"/>
      <c r="L25" s="313"/>
      <c r="M25" s="997"/>
      <c r="N25" s="998"/>
      <c r="O25" s="1012"/>
    </row>
    <row r="26" spans="1:15" s="73" customFormat="1" ht="12.75" customHeight="1">
      <c r="A26" s="514"/>
      <c r="B26" s="93" t="s">
        <v>208</v>
      </c>
      <c r="C26" s="69"/>
      <c r="D26" s="341"/>
      <c r="E26" s="342">
        <f>+D26-C26</f>
        <v>0</v>
      </c>
      <c r="F26" s="343">
        <f t="shared" si="2"/>
        <v>0</v>
      </c>
      <c r="G26" s="478"/>
      <c r="H26" s="313"/>
      <c r="I26" s="167">
        <f>+'Provider Total Budget by Serv'!J53</f>
        <v>0</v>
      </c>
      <c r="J26" s="339">
        <f>IF(I26+C26=0,0,(IF(AND(I26=0,C26&gt;0),-1,(IF(AND(I26&gt;0,C26=0),1,+I26/C26-1)))))</f>
        <v>0</v>
      </c>
      <c r="K26" s="201"/>
      <c r="L26" s="313"/>
      <c r="M26" s="997"/>
      <c r="N26" s="998"/>
      <c r="O26" s="1012"/>
    </row>
    <row r="27" spans="1:15" s="73" customFormat="1" ht="12.75" customHeight="1">
      <c r="A27" s="514"/>
      <c r="B27" s="93" t="s">
        <v>1</v>
      </c>
      <c r="C27" s="75">
        <f>SUM(C24:C26)</f>
        <v>0</v>
      </c>
      <c r="D27" s="76">
        <f>SUM(D24:D26)</f>
        <v>0</v>
      </c>
      <c r="E27" s="106">
        <f>+D27-C27</f>
        <v>0</v>
      </c>
      <c r="F27" s="345">
        <f t="shared" si="2"/>
        <v>0</v>
      </c>
      <c r="G27" s="478">
        <f>IF(AND(C27&gt;0,C$80&gt;0),+C27/C$80,0)</f>
        <v>0</v>
      </c>
      <c r="H27" s="313"/>
      <c r="I27" s="168">
        <f>SUM(I24:I26)</f>
        <v>0</v>
      </c>
      <c r="J27" s="480">
        <f>IF(I27+C27=0,0,(IF(AND(I27=0,C27&gt;0),-1,(IF(AND(I27&gt;0,C27=0),1,+I27/C27-1)))))</f>
        <v>0</v>
      </c>
      <c r="K27" s="481">
        <f>IF(AND(I27&gt;0,I$80&gt;0),+I27/I$80,0)</f>
        <v>0</v>
      </c>
      <c r="L27" s="313"/>
      <c r="M27" s="999"/>
      <c r="N27" s="1000"/>
      <c r="O27" s="1012"/>
    </row>
    <row r="28" spans="1:15" s="73" customFormat="1" ht="12.75" customHeight="1">
      <c r="A28" s="513"/>
      <c r="B28" s="725" t="s">
        <v>232</v>
      </c>
      <c r="C28" s="725"/>
      <c r="D28" s="725"/>
      <c r="E28" s="725"/>
      <c r="F28" s="725"/>
      <c r="G28" s="785"/>
      <c r="H28" s="313"/>
      <c r="I28" s="445"/>
      <c r="J28" s="447"/>
      <c r="K28" s="350"/>
      <c r="L28" s="313"/>
      <c r="M28" s="600"/>
      <c r="N28" s="601"/>
      <c r="O28" s="1012"/>
    </row>
    <row r="29" spans="1:15" s="73" customFormat="1" ht="12.75" customHeight="1">
      <c r="A29" s="514"/>
      <c r="B29" s="92" t="s">
        <v>20</v>
      </c>
      <c r="C29" s="67"/>
      <c r="D29" s="105"/>
      <c r="E29" s="106">
        <f t="shared" ref="E29:E35" si="3">+D29-C29</f>
        <v>0</v>
      </c>
      <c r="F29" s="107">
        <f t="shared" ref="F29:F35" si="4">IF(+C29+D29=0,0,(IF(AND(+C29=0,D29&gt;0),1,(IF(AND(+C29&gt;0,D29=0),-1,+C29/+D29-1)))))</f>
        <v>0</v>
      </c>
      <c r="G29" s="482"/>
      <c r="H29" s="313"/>
      <c r="I29" s="166">
        <f>+'Provider Total Budget by Serv'!J61</f>
        <v>0</v>
      </c>
      <c r="J29" s="339">
        <f t="shared" ref="J29:J35" si="5">IF(I29+C29=0,0,(IF(AND(I29=0,C29&gt;0),-1,(IF(AND(I29&gt;0,C29=0),1,+I29/C29-1)))))</f>
        <v>0</v>
      </c>
      <c r="K29" s="82"/>
      <c r="L29" s="313"/>
      <c r="M29" s="995"/>
      <c r="N29" s="996"/>
      <c r="O29" s="1012"/>
    </row>
    <row r="30" spans="1:15" s="73" customFormat="1" ht="12.75" customHeight="1">
      <c r="A30" s="514"/>
      <c r="B30" s="104" t="s">
        <v>243</v>
      </c>
      <c r="C30" s="68"/>
      <c r="D30" s="105"/>
      <c r="E30" s="106">
        <f t="shared" si="3"/>
        <v>0</v>
      </c>
      <c r="F30" s="107">
        <f t="shared" si="4"/>
        <v>0</v>
      </c>
      <c r="G30" s="108"/>
      <c r="H30" s="313"/>
      <c r="I30" s="166">
        <f>+'Provider Total Budget by Serv'!J68</f>
        <v>0</v>
      </c>
      <c r="J30" s="339">
        <f t="shared" si="5"/>
        <v>0</v>
      </c>
      <c r="K30" s="82"/>
      <c r="L30" s="313"/>
      <c r="M30" s="997"/>
      <c r="N30" s="998"/>
      <c r="O30" s="1012"/>
    </row>
    <row r="31" spans="1:15" s="73" customFormat="1" ht="12.75" customHeight="1">
      <c r="A31" s="514"/>
      <c r="B31" s="92" t="s">
        <v>21</v>
      </c>
      <c r="C31" s="68"/>
      <c r="D31" s="105"/>
      <c r="E31" s="106">
        <f t="shared" si="3"/>
        <v>0</v>
      </c>
      <c r="F31" s="107">
        <f t="shared" si="4"/>
        <v>0</v>
      </c>
      <c r="G31" s="108"/>
      <c r="H31" s="313"/>
      <c r="I31" s="166">
        <f>+'Provider Total Budget by Serv'!J73</f>
        <v>0</v>
      </c>
      <c r="J31" s="339">
        <f t="shared" si="5"/>
        <v>0</v>
      </c>
      <c r="K31" s="82"/>
      <c r="L31" s="313"/>
      <c r="M31" s="997"/>
      <c r="N31" s="998"/>
      <c r="O31" s="1012"/>
    </row>
    <row r="32" spans="1:15" s="73" customFormat="1" ht="12.75" customHeight="1">
      <c r="A32" s="514"/>
      <c r="B32" s="92" t="s">
        <v>215</v>
      </c>
      <c r="C32" s="68"/>
      <c r="D32" s="105"/>
      <c r="E32" s="106">
        <f t="shared" si="3"/>
        <v>0</v>
      </c>
      <c r="F32" s="216">
        <f t="shared" si="4"/>
        <v>0</v>
      </c>
      <c r="G32" s="340"/>
      <c r="H32" s="313"/>
      <c r="I32" s="166">
        <f>+'Provider Total Budget by Serv'!J78</f>
        <v>0</v>
      </c>
      <c r="J32" s="339">
        <f t="shared" si="5"/>
        <v>0</v>
      </c>
      <c r="K32" s="82"/>
      <c r="L32" s="313"/>
      <c r="M32" s="997"/>
      <c r="N32" s="998"/>
      <c r="O32" s="1012"/>
    </row>
    <row r="33" spans="1:15" s="73" customFormat="1" ht="12.75" customHeight="1">
      <c r="A33" s="514"/>
      <c r="B33" s="92" t="s">
        <v>216</v>
      </c>
      <c r="C33" s="68"/>
      <c r="D33" s="105"/>
      <c r="E33" s="106">
        <f t="shared" si="3"/>
        <v>0</v>
      </c>
      <c r="F33" s="216">
        <f t="shared" si="4"/>
        <v>0</v>
      </c>
      <c r="G33" s="108"/>
      <c r="H33" s="313"/>
      <c r="I33" s="166">
        <f>+'Provider Total Budget by Serv'!J87</f>
        <v>0</v>
      </c>
      <c r="J33" s="339">
        <f t="shared" si="5"/>
        <v>0</v>
      </c>
      <c r="K33" s="82"/>
      <c r="L33" s="313"/>
      <c r="M33" s="997"/>
      <c r="N33" s="998"/>
      <c r="O33" s="1012"/>
    </row>
    <row r="34" spans="1:15" s="73" customFormat="1" ht="12.75" customHeight="1">
      <c r="A34" s="514"/>
      <c r="B34" s="93" t="s">
        <v>219</v>
      </c>
      <c r="C34" s="69"/>
      <c r="D34" s="358"/>
      <c r="E34" s="342">
        <f t="shared" si="3"/>
        <v>0</v>
      </c>
      <c r="F34" s="359">
        <f t="shared" si="4"/>
        <v>0</v>
      </c>
      <c r="G34" s="478"/>
      <c r="H34" s="313"/>
      <c r="I34" s="167">
        <f>+'Provider Total Budget by Serv'!J92</f>
        <v>0</v>
      </c>
      <c r="J34" s="339">
        <f t="shared" si="5"/>
        <v>0</v>
      </c>
      <c r="K34" s="80"/>
      <c r="L34" s="313"/>
      <c r="M34" s="997"/>
      <c r="N34" s="998"/>
      <c r="O34" s="1012"/>
    </row>
    <row r="35" spans="1:15" s="73" customFormat="1" ht="12.75" customHeight="1">
      <c r="A35" s="514"/>
      <c r="B35" s="93" t="s">
        <v>1</v>
      </c>
      <c r="C35" s="75">
        <f>SUM(C29:C34)</f>
        <v>0</v>
      </c>
      <c r="D35" s="76">
        <f>SUM(D29:D34)</f>
        <v>0</v>
      </c>
      <c r="E35" s="106">
        <f t="shared" si="3"/>
        <v>0</v>
      </c>
      <c r="F35" s="345">
        <f t="shared" si="4"/>
        <v>0</v>
      </c>
      <c r="G35" s="478">
        <f>IF(AND(C35&gt;0,C$80&gt;0),+C35/C$80,0)</f>
        <v>0</v>
      </c>
      <c r="H35" s="313"/>
      <c r="I35" s="168">
        <f>SUM(I29:I34)</f>
        <v>0</v>
      </c>
      <c r="J35" s="480">
        <f t="shared" si="5"/>
        <v>0</v>
      </c>
      <c r="K35" s="481">
        <f>IF(AND(I35&gt;0,I$80&gt;0),+I35/I$80,0)</f>
        <v>0</v>
      </c>
      <c r="L35" s="313"/>
      <c r="M35" s="999"/>
      <c r="N35" s="1000"/>
      <c r="O35" s="1012"/>
    </row>
    <row r="36" spans="1:15" s="73" customFormat="1" ht="12.75" customHeight="1">
      <c r="A36" s="513"/>
      <c r="B36" s="725" t="s">
        <v>233</v>
      </c>
      <c r="C36" s="725"/>
      <c r="D36" s="725"/>
      <c r="E36" s="725"/>
      <c r="F36" s="725"/>
      <c r="G36" s="785"/>
      <c r="H36" s="313"/>
      <c r="I36" s="474"/>
      <c r="J36" s="474"/>
      <c r="K36" s="475"/>
      <c r="L36" s="313"/>
      <c r="M36" s="600"/>
      <c r="N36" s="601"/>
      <c r="O36" s="1012"/>
    </row>
    <row r="37" spans="1:15" s="73" customFormat="1" ht="12.75" customHeight="1">
      <c r="A37" s="514"/>
      <c r="B37" s="92" t="s">
        <v>209</v>
      </c>
      <c r="C37" s="67"/>
      <c r="D37" s="105"/>
      <c r="E37" s="106">
        <f>+D37-C37</f>
        <v>0</v>
      </c>
      <c r="F37" s="107">
        <f t="shared" ref="F37:F41" si="6">IF(+C37+D37=0,0,(IF(AND(+C37=0,D37&gt;0),1,(IF(AND(+C37&gt;0,D37=0),-1,+C37/+D37-1)))))</f>
        <v>0</v>
      </c>
      <c r="G37" s="340"/>
      <c r="H37" s="313"/>
      <c r="I37" s="166">
        <f>+'Provider Total Budget by Serv'!J99</f>
        <v>0</v>
      </c>
      <c r="J37" s="339">
        <f>IF(I37+C37=0,0,(IF(AND(I37=0,C37&gt;0),-1,(IF(AND(I37&gt;0,C37=0),1,+I37/C37-1)))))</f>
        <v>0</v>
      </c>
      <c r="K37" s="82"/>
      <c r="L37" s="313"/>
      <c r="M37" s="995"/>
      <c r="N37" s="996"/>
      <c r="O37" s="1012"/>
    </row>
    <row r="38" spans="1:15" s="73" customFormat="1" ht="12.75" customHeight="1">
      <c r="A38" s="514"/>
      <c r="B38" s="92" t="s">
        <v>4</v>
      </c>
      <c r="C38" s="68"/>
      <c r="D38" s="105"/>
      <c r="E38" s="106">
        <f>+D38-C38</f>
        <v>0</v>
      </c>
      <c r="F38" s="107">
        <f t="shared" si="6"/>
        <v>0</v>
      </c>
      <c r="G38" s="108"/>
      <c r="H38" s="313"/>
      <c r="I38" s="166">
        <f>+'Provider Total Budget by Serv'!J104</f>
        <v>0</v>
      </c>
      <c r="J38" s="339">
        <f>IF(I38+C38=0,0,(IF(AND(I38=0,C38&gt;0),-1,(IF(AND(I38&gt;0,C38=0),1,+I38/C38-1)))))</f>
        <v>0</v>
      </c>
      <c r="K38" s="82"/>
      <c r="L38" s="313"/>
      <c r="M38" s="997"/>
      <c r="N38" s="998"/>
      <c r="O38" s="1012"/>
    </row>
    <row r="39" spans="1:15" s="73" customFormat="1" ht="12.75" customHeight="1">
      <c r="A39" s="514"/>
      <c r="B39" s="92" t="s">
        <v>210</v>
      </c>
      <c r="C39" s="68"/>
      <c r="D39" s="105"/>
      <c r="E39" s="106">
        <f>+D39-C39</f>
        <v>0</v>
      </c>
      <c r="F39" s="107">
        <f t="shared" si="6"/>
        <v>0</v>
      </c>
      <c r="G39" s="108"/>
      <c r="H39" s="313"/>
      <c r="I39" s="166">
        <f>+'Provider Total Budget by Serv'!J109</f>
        <v>0</v>
      </c>
      <c r="J39" s="339">
        <f>IF(I39+C39=0,0,(IF(AND(I39=0,C39&gt;0),-1,(IF(AND(I39&gt;0,C39=0),1,+I39/C39-1)))))</f>
        <v>0</v>
      </c>
      <c r="K39" s="82"/>
      <c r="L39" s="313"/>
      <c r="M39" s="997"/>
      <c r="N39" s="998"/>
      <c r="O39" s="1012"/>
    </row>
    <row r="40" spans="1:15" s="73" customFormat="1" ht="12.75" customHeight="1">
      <c r="A40" s="514"/>
      <c r="B40" s="93" t="s">
        <v>211</v>
      </c>
      <c r="C40" s="69"/>
      <c r="D40" s="341"/>
      <c r="E40" s="342">
        <f>+D40-C40</f>
        <v>0</v>
      </c>
      <c r="F40" s="343">
        <f t="shared" si="6"/>
        <v>0</v>
      </c>
      <c r="G40" s="478"/>
      <c r="H40" s="313"/>
      <c r="I40" s="167">
        <f>+'Provider Total Budget by Serv'!J114</f>
        <v>0</v>
      </c>
      <c r="J40" s="339">
        <f>IF(I40+C40=0,0,(IF(AND(I40=0,C40&gt;0),-1,(IF(AND(I40&gt;0,C40=0),1,+I40/C40-1)))))</f>
        <v>0</v>
      </c>
      <c r="K40" s="80"/>
      <c r="L40" s="313"/>
      <c r="M40" s="997"/>
      <c r="N40" s="998"/>
      <c r="O40" s="1012"/>
    </row>
    <row r="41" spans="1:15" s="73" customFormat="1" ht="12.75" customHeight="1">
      <c r="A41" s="514"/>
      <c r="B41" s="93" t="s">
        <v>1</v>
      </c>
      <c r="C41" s="75">
        <f>SUM(C37:C40)</f>
        <v>0</v>
      </c>
      <c r="D41" s="76">
        <f>SUM(D37:D40)</f>
        <v>0</v>
      </c>
      <c r="E41" s="106">
        <f>+D41-C41</f>
        <v>0</v>
      </c>
      <c r="F41" s="345">
        <f t="shared" si="6"/>
        <v>0</v>
      </c>
      <c r="G41" s="478">
        <f>IF(AND(C41&gt;0,C$80&gt;0),+C41/C$80,0)</f>
        <v>0</v>
      </c>
      <c r="H41" s="313"/>
      <c r="I41" s="168">
        <f>SUM(I37:I40)</f>
        <v>0</v>
      </c>
      <c r="J41" s="480">
        <f>IF(I41+C41=0,0,(IF(AND(I41=0,C41&gt;0),-1,(IF(AND(I41&gt;0,C41=0),1,+I41/C41-1)))))</f>
        <v>0</v>
      </c>
      <c r="K41" s="481">
        <f>IF(AND(I41&gt;0,I$80&gt;0),+I41/I$80,0)</f>
        <v>0</v>
      </c>
      <c r="L41" s="313"/>
      <c r="M41" s="999"/>
      <c r="N41" s="1000"/>
      <c r="O41" s="1012"/>
    </row>
    <row r="42" spans="1:15" s="73" customFormat="1" ht="12.75" customHeight="1">
      <c r="A42" s="513"/>
      <c r="B42" s="725" t="s">
        <v>234</v>
      </c>
      <c r="C42" s="725"/>
      <c r="D42" s="725"/>
      <c r="E42" s="725"/>
      <c r="F42" s="725"/>
      <c r="G42" s="785"/>
      <c r="H42" s="313"/>
      <c r="I42" s="447"/>
      <c r="J42" s="447"/>
      <c r="K42" s="349"/>
      <c r="L42" s="313"/>
      <c r="M42" s="600"/>
      <c r="N42" s="601"/>
      <c r="O42" s="1012"/>
    </row>
    <row r="43" spans="1:15" s="73" customFormat="1" ht="12.75" customHeight="1">
      <c r="A43" s="514"/>
      <c r="B43" s="92" t="s">
        <v>6</v>
      </c>
      <c r="C43" s="67"/>
      <c r="D43" s="105"/>
      <c r="E43" s="106">
        <f t="shared" ref="E43:E52" si="7">+D43-C43</f>
        <v>0</v>
      </c>
      <c r="F43" s="107">
        <f t="shared" ref="F43:F52" si="8">IF(+C43+D43=0,0,(IF(AND(+C43=0,D43&gt;0),1,(IF(AND(+C43&gt;0,D43=0),-1,+C43/+D43-1)))))</f>
        <v>0</v>
      </c>
      <c r="G43" s="108"/>
      <c r="H43" s="313"/>
      <c r="I43" s="338">
        <f>+'Provider Total Budget by Serv'!J121</f>
        <v>0</v>
      </c>
      <c r="J43" s="339">
        <f t="shared" ref="J43:J52" si="9">IF(I43+C43=0,0,(IF(AND(I43=0,C43&gt;0),-1,(IF(AND(I43&gt;0,C43=0),1,+I43/C43-1)))))</f>
        <v>0</v>
      </c>
      <c r="K43" s="82"/>
      <c r="L43" s="313"/>
      <c r="M43" s="995"/>
      <c r="N43" s="996"/>
      <c r="O43" s="1012"/>
    </row>
    <row r="44" spans="1:15" s="73" customFormat="1" ht="12.75" customHeight="1">
      <c r="A44" s="514"/>
      <c r="B44" s="92" t="s">
        <v>7</v>
      </c>
      <c r="C44" s="68"/>
      <c r="D44" s="105"/>
      <c r="E44" s="106">
        <f t="shared" si="7"/>
        <v>0</v>
      </c>
      <c r="F44" s="107">
        <f t="shared" si="8"/>
        <v>0</v>
      </c>
      <c r="G44" s="108"/>
      <c r="H44" s="313"/>
      <c r="I44" s="166">
        <f>+'Provider Total Budget by Serv'!J126</f>
        <v>0</v>
      </c>
      <c r="J44" s="339">
        <f t="shared" si="9"/>
        <v>0</v>
      </c>
      <c r="K44" s="82"/>
      <c r="L44" s="313"/>
      <c r="M44" s="997"/>
      <c r="N44" s="998"/>
      <c r="O44" s="1012"/>
    </row>
    <row r="45" spans="1:15" s="73" customFormat="1" ht="12.75" customHeight="1">
      <c r="A45" s="514"/>
      <c r="B45" s="92" t="s">
        <v>209</v>
      </c>
      <c r="C45" s="68"/>
      <c r="D45" s="105"/>
      <c r="E45" s="106">
        <f t="shared" si="7"/>
        <v>0</v>
      </c>
      <c r="F45" s="107">
        <f t="shared" si="8"/>
        <v>0</v>
      </c>
      <c r="G45" s="340"/>
      <c r="H45" s="313"/>
      <c r="I45" s="166">
        <f>+'Provider Total Budget by Serv'!J131</f>
        <v>0</v>
      </c>
      <c r="J45" s="339">
        <f t="shared" si="9"/>
        <v>0</v>
      </c>
      <c r="K45" s="82"/>
      <c r="L45" s="313"/>
      <c r="M45" s="997"/>
      <c r="N45" s="998"/>
      <c r="O45" s="1012"/>
    </row>
    <row r="46" spans="1:15" s="73" customFormat="1" ht="12.75" customHeight="1">
      <c r="A46" s="514"/>
      <c r="B46" s="92" t="s">
        <v>39</v>
      </c>
      <c r="C46" s="68"/>
      <c r="D46" s="105"/>
      <c r="E46" s="106">
        <f t="shared" si="7"/>
        <v>0</v>
      </c>
      <c r="F46" s="107">
        <f t="shared" si="8"/>
        <v>0</v>
      </c>
      <c r="G46" s="108"/>
      <c r="H46" s="313"/>
      <c r="I46" s="166">
        <f>+'Provider Total Budget by Serv'!J136</f>
        <v>0</v>
      </c>
      <c r="J46" s="339">
        <f t="shared" si="9"/>
        <v>0</v>
      </c>
      <c r="K46" s="82"/>
      <c r="L46" s="313"/>
      <c r="M46" s="997"/>
      <c r="N46" s="998"/>
      <c r="O46" s="1012"/>
    </row>
    <row r="47" spans="1:15" s="73" customFormat="1" ht="12.75" customHeight="1">
      <c r="A47" s="514"/>
      <c r="B47" s="92" t="s">
        <v>212</v>
      </c>
      <c r="C47" s="68"/>
      <c r="D47" s="105"/>
      <c r="E47" s="106">
        <f t="shared" si="7"/>
        <v>0</v>
      </c>
      <c r="F47" s="107">
        <f t="shared" si="8"/>
        <v>0</v>
      </c>
      <c r="G47" s="108"/>
      <c r="H47" s="313"/>
      <c r="I47" s="166">
        <f>+'Provider Total Budget by Serv'!J141</f>
        <v>0</v>
      </c>
      <c r="J47" s="339">
        <f t="shared" si="9"/>
        <v>0</v>
      </c>
      <c r="K47" s="82"/>
      <c r="L47" s="313"/>
      <c r="M47" s="997"/>
      <c r="N47" s="998"/>
      <c r="O47" s="1012"/>
    </row>
    <row r="48" spans="1:15" s="73" customFormat="1" ht="12.75" customHeight="1">
      <c r="A48" s="514"/>
      <c r="B48" s="92" t="s">
        <v>8</v>
      </c>
      <c r="C48" s="68"/>
      <c r="D48" s="105"/>
      <c r="E48" s="106">
        <f t="shared" si="7"/>
        <v>0</v>
      </c>
      <c r="F48" s="107">
        <f t="shared" si="8"/>
        <v>0</v>
      </c>
      <c r="G48" s="340"/>
      <c r="H48" s="313"/>
      <c r="I48" s="166">
        <f>+'Provider Total Budget by Serv'!J146</f>
        <v>0</v>
      </c>
      <c r="J48" s="339">
        <f t="shared" si="9"/>
        <v>0</v>
      </c>
      <c r="K48" s="82"/>
      <c r="L48" s="313"/>
      <c r="M48" s="997"/>
      <c r="N48" s="998"/>
      <c r="O48" s="1012"/>
    </row>
    <row r="49" spans="1:15" s="73" customFormat="1" ht="12.75" customHeight="1">
      <c r="A49" s="514"/>
      <c r="B49" s="92" t="s">
        <v>9</v>
      </c>
      <c r="C49" s="68"/>
      <c r="D49" s="105"/>
      <c r="E49" s="106">
        <f t="shared" si="7"/>
        <v>0</v>
      </c>
      <c r="F49" s="107">
        <f t="shared" si="8"/>
        <v>0</v>
      </c>
      <c r="G49" s="108"/>
      <c r="H49" s="313"/>
      <c r="I49" s="166">
        <f>+'Provider Total Budget by Serv'!J151</f>
        <v>0</v>
      </c>
      <c r="J49" s="339">
        <f t="shared" si="9"/>
        <v>0</v>
      </c>
      <c r="K49" s="82"/>
      <c r="L49" s="313"/>
      <c r="M49" s="997"/>
      <c r="N49" s="998"/>
      <c r="O49" s="1012"/>
    </row>
    <row r="50" spans="1:15" s="73" customFormat="1" ht="12.75" customHeight="1">
      <c r="A50" s="514"/>
      <c r="B50" s="92" t="s">
        <v>213</v>
      </c>
      <c r="C50" s="68"/>
      <c r="D50" s="105"/>
      <c r="E50" s="106">
        <f t="shared" si="7"/>
        <v>0</v>
      </c>
      <c r="F50" s="107">
        <f t="shared" si="8"/>
        <v>0</v>
      </c>
      <c r="G50" s="108"/>
      <c r="H50" s="313"/>
      <c r="I50" s="166">
        <f>+'Provider Total Budget by Serv'!J156</f>
        <v>0</v>
      </c>
      <c r="J50" s="339">
        <f t="shared" si="9"/>
        <v>0</v>
      </c>
      <c r="K50" s="82"/>
      <c r="L50" s="313"/>
      <c r="M50" s="997"/>
      <c r="N50" s="998"/>
      <c r="O50" s="1012"/>
    </row>
    <row r="51" spans="1:15" s="73" customFormat="1" ht="12.75" customHeight="1">
      <c r="A51" s="514"/>
      <c r="B51" s="93" t="s">
        <v>214</v>
      </c>
      <c r="C51" s="69"/>
      <c r="D51" s="341"/>
      <c r="E51" s="342">
        <f t="shared" si="7"/>
        <v>0</v>
      </c>
      <c r="F51" s="343">
        <f t="shared" si="8"/>
        <v>0</v>
      </c>
      <c r="G51" s="478"/>
      <c r="H51" s="313"/>
      <c r="I51" s="167">
        <f>+'Provider Total Budget by Serv'!J161</f>
        <v>0</v>
      </c>
      <c r="J51" s="339">
        <f t="shared" si="9"/>
        <v>0</v>
      </c>
      <c r="K51" s="80"/>
      <c r="L51" s="313"/>
      <c r="M51" s="997"/>
      <c r="N51" s="998"/>
      <c r="O51" s="1012"/>
    </row>
    <row r="52" spans="1:15" s="73" customFormat="1" ht="12.75" customHeight="1">
      <c r="A52" s="514"/>
      <c r="B52" s="93" t="s">
        <v>1</v>
      </c>
      <c r="C52" s="75">
        <f>SUM(C43:C51)</f>
        <v>0</v>
      </c>
      <c r="D52" s="76">
        <f>SUM(D43:D51)</f>
        <v>0</v>
      </c>
      <c r="E52" s="106">
        <f t="shared" si="7"/>
        <v>0</v>
      </c>
      <c r="F52" s="345">
        <f t="shared" si="8"/>
        <v>0</v>
      </c>
      <c r="G52" s="478">
        <f>IF(AND(C52&gt;0,C$80&gt;0),+C52/C$80,0)</f>
        <v>0</v>
      </c>
      <c r="H52" s="313"/>
      <c r="I52" s="168">
        <f>SUM(I43:I51)</f>
        <v>0</v>
      </c>
      <c r="J52" s="480">
        <f t="shared" si="9"/>
        <v>0</v>
      </c>
      <c r="K52" s="481">
        <f>IF(AND(I52&gt;0,I$80&gt;0),+I52/I$80,0)</f>
        <v>0</v>
      </c>
      <c r="L52" s="313"/>
      <c r="M52" s="999"/>
      <c r="N52" s="1000"/>
      <c r="O52" s="1012"/>
    </row>
    <row r="53" spans="1:15" s="73" customFormat="1" ht="12.75" customHeight="1">
      <c r="A53" s="513"/>
      <c r="B53" s="725" t="s">
        <v>235</v>
      </c>
      <c r="C53" s="725"/>
      <c r="D53" s="725"/>
      <c r="E53" s="725"/>
      <c r="F53" s="725"/>
      <c r="G53" s="785"/>
      <c r="H53" s="313"/>
      <c r="I53" s="474"/>
      <c r="J53" s="474"/>
      <c r="K53" s="475"/>
      <c r="L53" s="313"/>
      <c r="M53" s="600"/>
      <c r="N53" s="601"/>
      <c r="O53" s="1012"/>
    </row>
    <row r="54" spans="1:15" s="73" customFormat="1" ht="12.75" customHeight="1">
      <c r="A54" s="514"/>
      <c r="B54" s="92" t="s">
        <v>27</v>
      </c>
      <c r="C54" s="67"/>
      <c r="D54" s="105"/>
      <c r="E54" s="106">
        <f t="shared" ref="E54:E62" si="10">+D54-C54</f>
        <v>0</v>
      </c>
      <c r="F54" s="107">
        <f t="shared" ref="F54:F62" si="11">IF(+C54+D54=0,0,(IF(AND(+C54=0,D54&gt;0),1,(IF(AND(+C54&gt;0,D54=0),-1,+C54/+D54-1)))))</f>
        <v>0</v>
      </c>
      <c r="G54" s="483"/>
      <c r="H54" s="313"/>
      <c r="I54" s="166">
        <f>+'Provider Total Budget by Serv'!J168</f>
        <v>0</v>
      </c>
      <c r="J54" s="339">
        <f t="shared" ref="J54:J62" si="12">IF(I54+C54=0,0,(IF(AND(I54=0,C54&gt;0),-1,(IF(AND(I54&gt;0,C54=0),1,+I54/C54-1)))))</f>
        <v>0</v>
      </c>
      <c r="K54" s="82"/>
      <c r="L54" s="313"/>
      <c r="M54" s="1001"/>
      <c r="N54" s="1002"/>
      <c r="O54" s="1012"/>
    </row>
    <row r="55" spans="1:15" s="73" customFormat="1" ht="12.75" customHeight="1">
      <c r="A55" s="514"/>
      <c r="B55" s="92" t="s">
        <v>22</v>
      </c>
      <c r="C55" s="68"/>
      <c r="D55" s="105"/>
      <c r="E55" s="106">
        <f t="shared" si="10"/>
        <v>0</v>
      </c>
      <c r="F55" s="107">
        <f t="shared" si="11"/>
        <v>0</v>
      </c>
      <c r="G55" s="205"/>
      <c r="H55" s="313"/>
      <c r="I55" s="166">
        <f>+'Provider Total Budget by Serv'!J173</f>
        <v>0</v>
      </c>
      <c r="J55" s="339">
        <f t="shared" si="12"/>
        <v>0</v>
      </c>
      <c r="K55" s="82"/>
      <c r="L55" s="313"/>
      <c r="M55" s="997"/>
      <c r="N55" s="1003"/>
      <c r="O55" s="1012"/>
    </row>
    <row r="56" spans="1:15" s="73" customFormat="1" ht="12.75" customHeight="1">
      <c r="A56" s="514"/>
      <c r="B56" s="92" t="s">
        <v>23</v>
      </c>
      <c r="C56" s="68"/>
      <c r="D56" s="105"/>
      <c r="E56" s="106">
        <f t="shared" si="10"/>
        <v>0</v>
      </c>
      <c r="F56" s="107">
        <f t="shared" si="11"/>
        <v>0</v>
      </c>
      <c r="G56" s="205"/>
      <c r="H56" s="313"/>
      <c r="I56" s="166">
        <f>+'Provider Total Budget by Serv'!J178</f>
        <v>0</v>
      </c>
      <c r="J56" s="339">
        <f t="shared" si="12"/>
        <v>0</v>
      </c>
      <c r="K56" s="82"/>
      <c r="L56" s="313"/>
      <c r="M56" s="997"/>
      <c r="N56" s="1003"/>
      <c r="O56" s="1012"/>
    </row>
    <row r="57" spans="1:15" s="73" customFormat="1" ht="12.75" customHeight="1">
      <c r="A57" s="514"/>
      <c r="B57" s="92" t="s">
        <v>217</v>
      </c>
      <c r="C57" s="68"/>
      <c r="D57" s="105"/>
      <c r="E57" s="106">
        <f t="shared" si="10"/>
        <v>0</v>
      </c>
      <c r="F57" s="107">
        <f t="shared" si="11"/>
        <v>0</v>
      </c>
      <c r="G57" s="205"/>
      <c r="H57" s="313"/>
      <c r="I57" s="166">
        <f>+'Provider Total Budget by Serv'!J183</f>
        <v>0</v>
      </c>
      <c r="J57" s="339">
        <f t="shared" si="12"/>
        <v>0</v>
      </c>
      <c r="K57" s="82"/>
      <c r="L57" s="313"/>
      <c r="M57" s="997"/>
      <c r="N57" s="1003"/>
      <c r="O57" s="1012"/>
    </row>
    <row r="58" spans="1:15" s="73" customFormat="1" ht="12.75" customHeight="1">
      <c r="A58" s="514"/>
      <c r="B58" s="92" t="s">
        <v>212</v>
      </c>
      <c r="C58" s="68"/>
      <c r="D58" s="105"/>
      <c r="E58" s="106">
        <f t="shared" si="10"/>
        <v>0</v>
      </c>
      <c r="F58" s="107">
        <f t="shared" si="11"/>
        <v>0</v>
      </c>
      <c r="G58" s="205"/>
      <c r="H58" s="313"/>
      <c r="I58" s="166">
        <f>+'Provider Total Budget by Serv'!J188</f>
        <v>0</v>
      </c>
      <c r="J58" s="339">
        <f t="shared" si="12"/>
        <v>0</v>
      </c>
      <c r="K58" s="82"/>
      <c r="L58" s="313"/>
      <c r="M58" s="997"/>
      <c r="N58" s="1003"/>
      <c r="O58" s="1012"/>
    </row>
    <row r="59" spans="1:15" s="73" customFormat="1" ht="12.75" customHeight="1">
      <c r="A59" s="514"/>
      <c r="B59" s="92" t="s">
        <v>218</v>
      </c>
      <c r="C59" s="68"/>
      <c r="D59" s="105"/>
      <c r="E59" s="106">
        <f t="shared" si="10"/>
        <v>0</v>
      </c>
      <c r="F59" s="107">
        <f t="shared" si="11"/>
        <v>0</v>
      </c>
      <c r="G59" s="108"/>
      <c r="H59" s="313"/>
      <c r="I59" s="166">
        <f>+'Provider Total Budget by Serv'!J193</f>
        <v>0</v>
      </c>
      <c r="J59" s="339">
        <f t="shared" si="12"/>
        <v>0</v>
      </c>
      <c r="K59" s="82"/>
      <c r="L59" s="313"/>
      <c r="M59" s="997"/>
      <c r="N59" s="1003"/>
      <c r="O59" s="1012"/>
    </row>
    <row r="60" spans="1:15" s="73" customFormat="1" ht="12.75" customHeight="1">
      <c r="A60" s="514"/>
      <c r="B60" s="92" t="s">
        <v>4</v>
      </c>
      <c r="C60" s="68"/>
      <c r="D60" s="105"/>
      <c r="E60" s="106">
        <f t="shared" si="10"/>
        <v>0</v>
      </c>
      <c r="F60" s="107">
        <f t="shared" si="11"/>
        <v>0</v>
      </c>
      <c r="G60" s="108"/>
      <c r="H60" s="313"/>
      <c r="I60" s="166">
        <f>+'Provider Total Budget by Serv'!J198</f>
        <v>0</v>
      </c>
      <c r="J60" s="339">
        <f t="shared" si="12"/>
        <v>0</v>
      </c>
      <c r="K60" s="82"/>
      <c r="L60" s="313"/>
      <c r="M60" s="997"/>
      <c r="N60" s="1003"/>
      <c r="O60" s="1012"/>
    </row>
    <row r="61" spans="1:15" s="73" customFormat="1" ht="12.75" customHeight="1">
      <c r="A61" s="514"/>
      <c r="B61" s="93" t="s">
        <v>29</v>
      </c>
      <c r="C61" s="69"/>
      <c r="D61" s="341"/>
      <c r="E61" s="342">
        <f t="shared" si="10"/>
        <v>0</v>
      </c>
      <c r="F61" s="343">
        <f t="shared" si="11"/>
        <v>0</v>
      </c>
      <c r="G61" s="478"/>
      <c r="H61" s="313"/>
      <c r="I61" s="167">
        <f>+'Provider Total Budget by Serv'!J203</f>
        <v>0</v>
      </c>
      <c r="J61" s="355">
        <f t="shared" si="12"/>
        <v>0</v>
      </c>
      <c r="K61" s="80"/>
      <c r="L61" s="313"/>
      <c r="M61" s="997"/>
      <c r="N61" s="1003"/>
      <c r="O61" s="1012"/>
    </row>
    <row r="62" spans="1:15" s="73" customFormat="1" ht="12.75" customHeight="1">
      <c r="A62" s="514"/>
      <c r="B62" s="93" t="s">
        <v>1</v>
      </c>
      <c r="C62" s="75">
        <f>SUM(C54:C61)</f>
        <v>0</v>
      </c>
      <c r="D62" s="76">
        <f>SUM(D54:D61)</f>
        <v>0</v>
      </c>
      <c r="E62" s="106">
        <f t="shared" si="10"/>
        <v>0</v>
      </c>
      <c r="F62" s="345">
        <f t="shared" si="11"/>
        <v>0</v>
      </c>
      <c r="G62" s="478">
        <f>IF(AND(C62&gt;0,C$80&gt;0),+C62/C$80,0)</f>
        <v>0</v>
      </c>
      <c r="H62" s="313"/>
      <c r="I62" s="168">
        <f>SUM(I54:I61)</f>
        <v>0</v>
      </c>
      <c r="J62" s="339">
        <f t="shared" si="12"/>
        <v>0</v>
      </c>
      <c r="K62" s="481">
        <f>IF(AND(I62&gt;0,I$80&gt;0),+I62/I$80,0)</f>
        <v>0</v>
      </c>
      <c r="L62" s="313"/>
      <c r="M62" s="999"/>
      <c r="N62" s="1004"/>
      <c r="O62" s="1012"/>
    </row>
    <row r="63" spans="1:15" s="73" customFormat="1" ht="12.75" customHeight="1">
      <c r="A63" s="513"/>
      <c r="B63" s="725" t="s">
        <v>236</v>
      </c>
      <c r="C63" s="725"/>
      <c r="D63" s="725"/>
      <c r="E63" s="725"/>
      <c r="F63" s="725"/>
      <c r="G63" s="785"/>
      <c r="H63" s="313"/>
      <c r="I63" s="474"/>
      <c r="J63" s="484"/>
      <c r="K63" s="475"/>
      <c r="L63" s="313"/>
      <c r="M63" s="600"/>
      <c r="N63" s="601"/>
      <c r="O63" s="1012"/>
    </row>
    <row r="64" spans="1:15" s="73" customFormat="1" ht="12.75" customHeight="1">
      <c r="A64" s="514"/>
      <c r="B64" s="92" t="s">
        <v>18</v>
      </c>
      <c r="C64" s="68"/>
      <c r="D64" s="105"/>
      <c r="E64" s="106">
        <f t="shared" ref="E64:E78" si="13">+D64-C64</f>
        <v>0</v>
      </c>
      <c r="F64" s="107">
        <f t="shared" ref="F64:F78" si="14">IF(+C64+D64=0,0,(IF(AND(+C64=0,D64&gt;0),1,(IF(AND(+C64&gt;0,D64=0),-1,+C64/+D64-1)))))</f>
        <v>0</v>
      </c>
      <c r="G64" s="205"/>
      <c r="H64" s="313"/>
      <c r="I64" s="166">
        <f>+'Provider Total Budget by Serv'!J210</f>
        <v>0</v>
      </c>
      <c r="J64" s="339">
        <f t="shared" ref="J64:J78" si="15">IF(I64+C64=0,0,(IF(AND(I64=0,C64&gt;0),-1,(IF(AND(I64&gt;0,C64=0),1,+I64/C64-1)))))</f>
        <v>0</v>
      </c>
      <c r="K64" s="82"/>
      <c r="L64" s="313"/>
      <c r="M64" s="1001"/>
      <c r="N64" s="1002"/>
      <c r="O64" s="1012"/>
    </row>
    <row r="65" spans="1:15" s="73" customFormat="1" ht="12.75" customHeight="1">
      <c r="A65" s="514"/>
      <c r="B65" s="92" t="s">
        <v>10</v>
      </c>
      <c r="C65" s="68"/>
      <c r="D65" s="105"/>
      <c r="E65" s="106">
        <f t="shared" si="13"/>
        <v>0</v>
      </c>
      <c r="F65" s="107">
        <f t="shared" si="14"/>
        <v>0</v>
      </c>
      <c r="G65" s="205"/>
      <c r="H65" s="313"/>
      <c r="I65" s="166">
        <f>+'Provider Total Budget by Serv'!J215</f>
        <v>0</v>
      </c>
      <c r="J65" s="339">
        <f t="shared" si="15"/>
        <v>0</v>
      </c>
      <c r="K65" s="82"/>
      <c r="L65" s="313"/>
      <c r="M65" s="997"/>
      <c r="N65" s="1003"/>
      <c r="O65" s="1012"/>
    </row>
    <row r="66" spans="1:15" s="73" customFormat="1" ht="12.75" customHeight="1">
      <c r="A66" s="514"/>
      <c r="B66" s="92" t="s">
        <v>11</v>
      </c>
      <c r="C66" s="68"/>
      <c r="D66" s="105"/>
      <c r="E66" s="106">
        <f t="shared" si="13"/>
        <v>0</v>
      </c>
      <c r="F66" s="107">
        <f t="shared" si="14"/>
        <v>0</v>
      </c>
      <c r="G66" s="205"/>
      <c r="H66" s="313"/>
      <c r="I66" s="166">
        <f>+'Provider Total Budget by Serv'!J220</f>
        <v>0</v>
      </c>
      <c r="J66" s="339">
        <f t="shared" si="15"/>
        <v>0</v>
      </c>
      <c r="K66" s="82"/>
      <c r="L66" s="313"/>
      <c r="M66" s="997"/>
      <c r="N66" s="1003"/>
      <c r="O66" s="1012"/>
    </row>
    <row r="67" spans="1:15" s="73" customFormat="1" ht="12.75" customHeight="1">
      <c r="A67" s="514"/>
      <c r="B67" s="92" t="s">
        <v>12</v>
      </c>
      <c r="C67" s="68"/>
      <c r="D67" s="105"/>
      <c r="E67" s="106">
        <f t="shared" si="13"/>
        <v>0</v>
      </c>
      <c r="F67" s="107">
        <f t="shared" si="14"/>
        <v>0</v>
      </c>
      <c r="G67" s="205"/>
      <c r="H67" s="313"/>
      <c r="I67" s="166">
        <f>+'Provider Total Budget by Serv'!J225</f>
        <v>0</v>
      </c>
      <c r="J67" s="339">
        <f t="shared" si="15"/>
        <v>0</v>
      </c>
      <c r="K67" s="82"/>
      <c r="L67" s="313"/>
      <c r="M67" s="997"/>
      <c r="N67" s="1003"/>
      <c r="O67" s="1012"/>
    </row>
    <row r="68" spans="1:15" s="73" customFormat="1" ht="12.75" customHeight="1">
      <c r="A68" s="514"/>
      <c r="B68" s="92" t="s">
        <v>19</v>
      </c>
      <c r="C68" s="68"/>
      <c r="D68" s="105"/>
      <c r="E68" s="106">
        <f t="shared" si="13"/>
        <v>0</v>
      </c>
      <c r="F68" s="107">
        <f t="shared" si="14"/>
        <v>0</v>
      </c>
      <c r="G68" s="108"/>
      <c r="H68" s="313"/>
      <c r="I68" s="166">
        <f>+'Provider Total Budget by Serv'!J230</f>
        <v>0</v>
      </c>
      <c r="J68" s="339">
        <f t="shared" si="15"/>
        <v>0</v>
      </c>
      <c r="K68" s="82"/>
      <c r="L68" s="313"/>
      <c r="M68" s="997"/>
      <c r="N68" s="1003"/>
      <c r="O68" s="1012"/>
    </row>
    <row r="69" spans="1:15" s="73" customFormat="1" ht="12.75" customHeight="1">
      <c r="A69" s="514"/>
      <c r="B69" s="92" t="s">
        <v>13</v>
      </c>
      <c r="C69" s="68"/>
      <c r="D69" s="105"/>
      <c r="E69" s="106">
        <f t="shared" si="13"/>
        <v>0</v>
      </c>
      <c r="F69" s="107">
        <f t="shared" si="14"/>
        <v>0</v>
      </c>
      <c r="G69" s="108"/>
      <c r="H69" s="313"/>
      <c r="I69" s="166">
        <f>+'Provider Total Budget by Serv'!J235</f>
        <v>0</v>
      </c>
      <c r="J69" s="339">
        <f t="shared" si="15"/>
        <v>0</v>
      </c>
      <c r="K69" s="82"/>
      <c r="L69" s="313"/>
      <c r="M69" s="997"/>
      <c r="N69" s="1003"/>
      <c r="O69" s="1012"/>
    </row>
    <row r="70" spans="1:15" s="73" customFormat="1" ht="12.75" customHeight="1">
      <c r="A70" s="514"/>
      <c r="B70" s="92" t="s">
        <v>14</v>
      </c>
      <c r="C70" s="68"/>
      <c r="D70" s="105"/>
      <c r="E70" s="106">
        <f t="shared" si="13"/>
        <v>0</v>
      </c>
      <c r="F70" s="107">
        <f t="shared" si="14"/>
        <v>0</v>
      </c>
      <c r="G70" s="205"/>
      <c r="H70" s="313"/>
      <c r="I70" s="166">
        <f>+'Provider Total Budget by Serv'!J240</f>
        <v>0</v>
      </c>
      <c r="J70" s="339">
        <f t="shared" si="15"/>
        <v>0</v>
      </c>
      <c r="K70" s="82"/>
      <c r="L70" s="313"/>
      <c r="M70" s="997"/>
      <c r="N70" s="1003"/>
      <c r="O70" s="1012"/>
    </row>
    <row r="71" spans="1:15" s="73" customFormat="1" ht="12.75" customHeight="1">
      <c r="A71" s="514"/>
      <c r="B71" s="92" t="s">
        <v>15</v>
      </c>
      <c r="C71" s="68"/>
      <c r="D71" s="105"/>
      <c r="E71" s="106">
        <f t="shared" si="13"/>
        <v>0</v>
      </c>
      <c r="F71" s="107">
        <f t="shared" si="14"/>
        <v>0</v>
      </c>
      <c r="G71" s="205"/>
      <c r="H71" s="313"/>
      <c r="I71" s="166">
        <f>+'Provider Total Budget by Serv'!J245</f>
        <v>0</v>
      </c>
      <c r="J71" s="339">
        <f t="shared" si="15"/>
        <v>0</v>
      </c>
      <c r="K71" s="82"/>
      <c r="L71" s="313"/>
      <c r="M71" s="997"/>
      <c r="N71" s="1003"/>
      <c r="O71" s="1012"/>
    </row>
    <row r="72" spans="1:15" s="73" customFormat="1" ht="12.75" customHeight="1">
      <c r="A72" s="514"/>
      <c r="B72" s="92" t="s">
        <v>16</v>
      </c>
      <c r="C72" s="68"/>
      <c r="D72" s="105"/>
      <c r="E72" s="106">
        <f t="shared" si="13"/>
        <v>0</v>
      </c>
      <c r="F72" s="107">
        <f t="shared" si="14"/>
        <v>0</v>
      </c>
      <c r="G72" s="205"/>
      <c r="H72" s="313"/>
      <c r="I72" s="166">
        <f>+'Provider Total Budget by Serv'!J250</f>
        <v>0</v>
      </c>
      <c r="J72" s="339">
        <f t="shared" si="15"/>
        <v>0</v>
      </c>
      <c r="K72" s="82"/>
      <c r="L72" s="313"/>
      <c r="M72" s="997"/>
      <c r="N72" s="1003"/>
      <c r="O72" s="1012"/>
    </row>
    <row r="73" spans="1:15" s="73" customFormat="1" ht="12.75" customHeight="1">
      <c r="A73" s="514"/>
      <c r="B73" s="92" t="s">
        <v>24</v>
      </c>
      <c r="C73" s="68"/>
      <c r="D73" s="105"/>
      <c r="E73" s="106">
        <f t="shared" si="13"/>
        <v>0</v>
      </c>
      <c r="F73" s="107">
        <f t="shared" si="14"/>
        <v>0</v>
      </c>
      <c r="G73" s="108"/>
      <c r="H73" s="313"/>
      <c r="I73" s="166">
        <f>+'Provider Total Budget by Serv'!J255</f>
        <v>0</v>
      </c>
      <c r="J73" s="339">
        <f t="shared" si="15"/>
        <v>0</v>
      </c>
      <c r="K73" s="82"/>
      <c r="L73" s="313"/>
      <c r="M73" s="997"/>
      <c r="N73" s="1003"/>
      <c r="O73" s="1012"/>
    </row>
    <row r="74" spans="1:15" s="73" customFormat="1" ht="12.75" customHeight="1">
      <c r="A74" s="514"/>
      <c r="B74" s="92" t="s">
        <v>25</v>
      </c>
      <c r="C74" s="68"/>
      <c r="D74" s="105"/>
      <c r="E74" s="106">
        <f t="shared" si="13"/>
        <v>0</v>
      </c>
      <c r="F74" s="107">
        <f t="shared" si="14"/>
        <v>0</v>
      </c>
      <c r="G74" s="108"/>
      <c r="H74" s="313"/>
      <c r="I74" s="166">
        <f>+'Provider Total Budget by Serv'!J260</f>
        <v>0</v>
      </c>
      <c r="J74" s="339">
        <f t="shared" si="15"/>
        <v>0</v>
      </c>
      <c r="K74" s="82"/>
      <c r="L74" s="313"/>
      <c r="M74" s="997"/>
      <c r="N74" s="1003"/>
      <c r="O74" s="1012"/>
    </row>
    <row r="75" spans="1:15" s="73" customFormat="1" ht="12.75" customHeight="1">
      <c r="A75" s="514"/>
      <c r="B75" s="92" t="s">
        <v>109</v>
      </c>
      <c r="C75" s="68"/>
      <c r="D75" s="105"/>
      <c r="E75" s="106">
        <f t="shared" si="13"/>
        <v>0</v>
      </c>
      <c r="F75" s="107">
        <f t="shared" si="14"/>
        <v>0</v>
      </c>
      <c r="G75" s="108"/>
      <c r="H75" s="313"/>
      <c r="I75" s="166">
        <f>+'Provider Total Budget by Serv'!J265</f>
        <v>0</v>
      </c>
      <c r="J75" s="339">
        <f t="shared" si="15"/>
        <v>0</v>
      </c>
      <c r="K75" s="82"/>
      <c r="L75" s="313"/>
      <c r="M75" s="997"/>
      <c r="N75" s="1003"/>
      <c r="O75" s="1012"/>
    </row>
    <row r="76" spans="1:15" s="73" customFormat="1" ht="12.75" customHeight="1">
      <c r="A76" s="514"/>
      <c r="B76" s="92" t="s">
        <v>17</v>
      </c>
      <c r="C76" s="68"/>
      <c r="D76" s="105"/>
      <c r="E76" s="106">
        <f t="shared" si="13"/>
        <v>0</v>
      </c>
      <c r="F76" s="107">
        <f t="shared" si="14"/>
        <v>0</v>
      </c>
      <c r="G76" s="108"/>
      <c r="H76" s="313"/>
      <c r="I76" s="166">
        <f>+'Provider Total Budget by Serv'!J270</f>
        <v>0</v>
      </c>
      <c r="J76" s="339">
        <f t="shared" si="15"/>
        <v>0</v>
      </c>
      <c r="K76" s="82"/>
      <c r="L76" s="313"/>
      <c r="M76" s="997"/>
      <c r="N76" s="1003"/>
      <c r="O76" s="1012"/>
    </row>
    <row r="77" spans="1:15" s="73" customFormat="1" ht="12.75" customHeight="1">
      <c r="A77" s="514"/>
      <c r="B77" s="93" t="s">
        <v>108</v>
      </c>
      <c r="C77" s="69"/>
      <c r="D77" s="341"/>
      <c r="E77" s="342">
        <f t="shared" si="13"/>
        <v>0</v>
      </c>
      <c r="F77" s="343">
        <f t="shared" si="14"/>
        <v>0</v>
      </c>
      <c r="G77" s="478"/>
      <c r="H77" s="313"/>
      <c r="I77" s="167">
        <f>+'Provider Total Budget by Serv'!J275</f>
        <v>0</v>
      </c>
      <c r="J77" s="355">
        <f t="shared" si="15"/>
        <v>0</v>
      </c>
      <c r="K77" s="80"/>
      <c r="L77" s="313"/>
      <c r="M77" s="997"/>
      <c r="N77" s="1003"/>
      <c r="O77" s="1012"/>
    </row>
    <row r="78" spans="1:15" s="73" customFormat="1" ht="12.75" customHeight="1">
      <c r="A78" s="514"/>
      <c r="B78" s="93" t="s">
        <v>1</v>
      </c>
      <c r="C78" s="75">
        <f>SUM(C64:C77)</f>
        <v>0</v>
      </c>
      <c r="D78" s="344">
        <f>SUM(D64:D77)</f>
        <v>0</v>
      </c>
      <c r="E78" s="342">
        <f t="shared" si="13"/>
        <v>0</v>
      </c>
      <c r="F78" s="345">
        <f t="shared" si="14"/>
        <v>0</v>
      </c>
      <c r="G78" s="478">
        <f>IF(AND(C78&gt;0,C$80&gt;0),+C78/C$80,0)</f>
        <v>0</v>
      </c>
      <c r="H78" s="313"/>
      <c r="I78" s="363">
        <f>SUM(I64:I77)</f>
        <v>0</v>
      </c>
      <c r="J78" s="480">
        <f t="shared" si="15"/>
        <v>0</v>
      </c>
      <c r="K78" s="481">
        <f>IF(AND(I78&gt;0,I$80&gt;0),+I78/I$80,0)</f>
        <v>0</v>
      </c>
      <c r="L78" s="313"/>
      <c r="M78" s="999"/>
      <c r="N78" s="1004"/>
      <c r="O78" s="1012"/>
    </row>
    <row r="79" spans="1:15" s="73" customFormat="1" ht="12.75" customHeight="1">
      <c r="A79" s="513"/>
      <c r="B79" s="727" t="s">
        <v>1</v>
      </c>
      <c r="C79" s="727"/>
      <c r="D79" s="727"/>
      <c r="E79" s="727"/>
      <c r="F79" s="727"/>
      <c r="G79" s="792"/>
      <c r="H79" s="313"/>
      <c r="I79" s="377"/>
      <c r="J79" s="377"/>
      <c r="K79" s="485"/>
      <c r="L79" s="313"/>
      <c r="M79" s="471"/>
      <c r="N79" s="536"/>
      <c r="O79" s="1012"/>
    </row>
    <row r="80" spans="1:15" s="73" customFormat="1" ht="12.75" customHeight="1">
      <c r="A80" s="514"/>
      <c r="B80" s="115" t="s">
        <v>28</v>
      </c>
      <c r="C80" s="77">
        <f>+C16+C22+C27+C35+C41+C52+C62+C78</f>
        <v>0</v>
      </c>
      <c r="D80" s="77">
        <f>+D16+D22+D27+D35+D41+D52+D62+D78</f>
        <v>0</v>
      </c>
      <c r="E80" s="116">
        <f>+D80-C80</f>
        <v>0</v>
      </c>
      <c r="F80" s="157">
        <f>IF(+C80+D80=0,0,(IF(AND(+C80=0,D80&gt;0),1,(IF(AND(+C80&gt;0,D80=0),-1,+C80/+D80-1)))))</f>
        <v>0</v>
      </c>
      <c r="G80" s="211">
        <f>IF(AND(C80&gt;0,C$80&gt;0),+C80/C$80,0)</f>
        <v>0</v>
      </c>
      <c r="H80" s="313"/>
      <c r="I80" s="116">
        <f>+I16+I27+I41+I52+I62+I78+I22+I35</f>
        <v>0</v>
      </c>
      <c r="J80" s="480">
        <f>IF(I80+C80=0,0,(IF(AND(I80=0,C80&gt;0),-1,(IF(AND(I80&gt;0,C80=0),1,+I80/C80-1)))))</f>
        <v>0</v>
      </c>
      <c r="K80" s="481">
        <f>IF(AND(I80&gt;0,I$80&gt;0),+I80/I$80,0)</f>
        <v>0</v>
      </c>
      <c r="L80" s="313"/>
      <c r="M80" s="1008"/>
      <c r="N80" s="1009"/>
      <c r="O80" s="1012"/>
    </row>
    <row r="81" spans="1:15" s="73" customFormat="1" ht="12.75" customHeight="1">
      <c r="A81" s="514"/>
      <c r="B81" s="94" t="s">
        <v>399</v>
      </c>
      <c r="C81" s="95"/>
      <c r="D81" s="207"/>
      <c r="E81" s="210">
        <f>+D81-C81</f>
        <v>0</v>
      </c>
      <c r="F81" s="157">
        <f>IF(+C81+D81=0,0,(IF(AND(+C81=0,D81&gt;0),1,(IF(AND(+C81&gt;0,D81=0),-1,+D81/+C81-1)))))</f>
        <v>0</v>
      </c>
      <c r="G81" s="486"/>
      <c r="H81" s="313"/>
      <c r="I81" s="125" t="s">
        <v>5</v>
      </c>
      <c r="J81" s="125"/>
      <c r="K81" s="487" t="s">
        <v>5</v>
      </c>
      <c r="L81" s="313"/>
      <c r="M81" s="471"/>
      <c r="N81" s="536"/>
      <c r="O81" s="1013"/>
    </row>
    <row r="82" spans="1:15" s="73" customFormat="1" ht="12.75" customHeight="1">
      <c r="A82" s="508"/>
      <c r="B82" s="94" t="s">
        <v>400</v>
      </c>
      <c r="C82" s="77">
        <f>IF(C81=0,0,+C80/C81)</f>
        <v>0</v>
      </c>
      <c r="D82" s="77">
        <f>IF(D81=0,0,+D80/D81)</f>
        <v>0</v>
      </c>
      <c r="E82" s="116">
        <f>IF(E81=0,0,+E80/E81)</f>
        <v>0</v>
      </c>
      <c r="F82" s="157">
        <f>IF(+C82+D82=0,0,(IF(AND(+C82=0,D82&gt;0),1,(IF(AND(+C82&gt;0,D82=0),-1,+D82/+C82-1)))))</f>
        <v>0</v>
      </c>
      <c r="G82" s="125"/>
      <c r="H82" s="313"/>
      <c r="I82" s="519" t="s">
        <v>312</v>
      </c>
      <c r="J82" s="114"/>
      <c r="K82" s="488" t="s">
        <v>276</v>
      </c>
      <c r="L82" s="313"/>
      <c r="M82" s="1008"/>
      <c r="N82" s="1009"/>
    </row>
    <row r="83" spans="1:15" s="73" customFormat="1" ht="12.75" customHeight="1">
      <c r="A83" s="513"/>
      <c r="B83" s="94" t="s">
        <v>401</v>
      </c>
      <c r="C83" s="114"/>
      <c r="D83" s="208"/>
      <c r="E83" s="489"/>
      <c r="F83" s="490"/>
      <c r="G83" s="125"/>
      <c r="H83" s="491"/>
      <c r="I83" s="209">
        <f>+C101</f>
        <v>0</v>
      </c>
      <c r="J83" s="492"/>
      <c r="K83" s="202" t="str">
        <f>IF(I83=0,"",+I80/I83)</f>
        <v/>
      </c>
      <c r="L83" s="315"/>
      <c r="M83" s="1008"/>
      <c r="N83" s="1009"/>
    </row>
    <row r="84" spans="1:15" s="73" customFormat="1" ht="12.75" customHeight="1">
      <c r="A84" s="513"/>
      <c r="B84" s="263"/>
      <c r="C84" s="377"/>
      <c r="D84" s="377"/>
      <c r="E84" s="377"/>
      <c r="F84" s="378"/>
      <c r="G84" s="125"/>
      <c r="H84" s="70"/>
      <c r="I84" s="125"/>
      <c r="J84" s="125"/>
      <c r="K84" s="493"/>
      <c r="L84" s="70"/>
      <c r="M84" s="70"/>
      <c r="N84" s="70"/>
    </row>
    <row r="85" spans="1:15" s="73" customFormat="1" ht="12.75" customHeight="1">
      <c r="A85" s="513"/>
      <c r="B85" s="263"/>
      <c r="C85" s="377"/>
      <c r="D85" s="377"/>
      <c r="E85" s="377"/>
      <c r="F85" s="378"/>
      <c r="G85" s="125"/>
      <c r="H85" s="70"/>
      <c r="I85" s="125"/>
      <c r="J85" s="125"/>
      <c r="K85" s="493"/>
      <c r="L85" s="70"/>
      <c r="M85" s="70"/>
      <c r="N85" s="70"/>
    </row>
    <row r="86" spans="1:15" s="73" customFormat="1" ht="12.75" customHeight="1">
      <c r="A86" s="513"/>
      <c r="B86" s="263"/>
      <c r="C86" s="377"/>
      <c r="D86" s="377"/>
      <c r="E86" s="377"/>
      <c r="F86" s="378"/>
      <c r="G86" s="125"/>
      <c r="H86" s="70"/>
      <c r="I86" s="156"/>
      <c r="J86" s="125"/>
      <c r="K86" s="493"/>
      <c r="L86" s="70"/>
      <c r="M86" s="70"/>
      <c r="N86" s="70"/>
    </row>
    <row r="87" spans="1:15" s="73" customFormat="1" ht="12.75" customHeight="1">
      <c r="A87" s="513"/>
      <c r="B87" s="263"/>
      <c r="C87" s="377"/>
      <c r="D87" s="377"/>
      <c r="E87" s="377"/>
      <c r="F87" s="378"/>
      <c r="G87" s="125"/>
      <c r="H87" s="70"/>
      <c r="I87" s="496"/>
      <c r="J87" s="125"/>
      <c r="K87" s="493"/>
      <c r="L87" s="70"/>
      <c r="M87" s="70"/>
      <c r="N87" s="70"/>
    </row>
    <row r="88" spans="1:15" s="73" customFormat="1" ht="12.75" customHeight="1">
      <c r="A88" s="513"/>
      <c r="B88" s="263"/>
      <c r="C88" s="377"/>
      <c r="D88" s="377"/>
      <c r="E88" s="377"/>
      <c r="F88" s="378"/>
      <c r="G88" s="125"/>
      <c r="H88" s="70"/>
      <c r="I88" s="550"/>
      <c r="J88" s="125"/>
      <c r="K88" s="493"/>
      <c r="L88" s="70"/>
      <c r="M88" s="70"/>
      <c r="N88" s="70"/>
    </row>
    <row r="89" spans="1:15" s="73" customFormat="1" ht="12.75" customHeight="1">
      <c r="A89" s="513"/>
      <c r="B89" s="502" t="s">
        <v>66</v>
      </c>
      <c r="C89" s="1005" t="s">
        <v>275</v>
      </c>
      <c r="D89" s="1005"/>
      <c r="E89" s="494"/>
      <c r="F89" s="842" t="s">
        <v>69</v>
      </c>
      <c r="G89" s="799"/>
      <c r="H89" s="1007" t="s">
        <v>68</v>
      </c>
      <c r="I89" s="1007"/>
      <c r="J89" s="495"/>
      <c r="K89" s="495"/>
      <c r="N89" s="70"/>
    </row>
    <row r="90" spans="1:15" s="73" customFormat="1" ht="12.75" customHeight="1">
      <c r="A90" s="513"/>
      <c r="B90" s="665" t="s">
        <v>434</v>
      </c>
      <c r="C90" s="1006"/>
      <c r="D90" s="1006"/>
      <c r="E90" s="70"/>
      <c r="F90" s="982">
        <f>IF(C90=0,0,'Unit Rate Calculation PA'!L24)</f>
        <v>0</v>
      </c>
      <c r="G90" s="983"/>
      <c r="H90" s="990">
        <f>+C90*F90</f>
        <v>0</v>
      </c>
      <c r="I90" s="990"/>
      <c r="J90" s="496"/>
      <c r="K90" s="496"/>
      <c r="N90" s="70"/>
    </row>
    <row r="91" spans="1:15" s="73" customFormat="1" ht="12.75" customHeight="1">
      <c r="A91" s="508"/>
      <c r="B91" s="665" t="s">
        <v>435</v>
      </c>
      <c r="C91" s="1006"/>
      <c r="D91" s="1006"/>
      <c r="E91" s="70"/>
      <c r="F91" s="982">
        <f>IF(C91=0,0,'Unit Rate Calculation PA'!$L$31)</f>
        <v>0</v>
      </c>
      <c r="G91" s="983"/>
      <c r="H91" s="990">
        <f t="shared" ref="H91:H100" si="16">+C91*F91</f>
        <v>0</v>
      </c>
      <c r="I91" s="990"/>
      <c r="N91" s="70"/>
    </row>
    <row r="92" spans="1:15" s="73" customFormat="1" ht="12.75" customHeight="1">
      <c r="A92" s="508"/>
      <c r="B92" s="665" t="s">
        <v>436</v>
      </c>
      <c r="C92" s="1010"/>
      <c r="D92" s="1006"/>
      <c r="E92" s="70"/>
      <c r="F92" s="982">
        <f>IF(C92=0,0,'Unit Rate Calculation PA'!$L$16)</f>
        <v>0</v>
      </c>
      <c r="G92" s="983"/>
      <c r="H92" s="990">
        <f t="shared" si="16"/>
        <v>0</v>
      </c>
      <c r="I92" s="990"/>
      <c r="N92" s="70"/>
      <c r="O92" s="70"/>
    </row>
    <row r="93" spans="1:15" s="73" customFormat="1" ht="12.75" customHeight="1">
      <c r="A93" s="508"/>
      <c r="B93" s="503" t="s">
        <v>274</v>
      </c>
      <c r="C93" s="1006"/>
      <c r="D93" s="1006"/>
      <c r="E93" s="70"/>
      <c r="F93" s="982">
        <f>IF(C93=0,0,'Unit Rate Calculation PA'!$L$16)</f>
        <v>0</v>
      </c>
      <c r="G93" s="983"/>
      <c r="H93" s="990">
        <f t="shared" si="16"/>
        <v>0</v>
      </c>
      <c r="I93" s="990"/>
      <c r="N93" s="70"/>
      <c r="O93" s="70"/>
    </row>
    <row r="94" spans="1:15" s="73" customFormat="1" ht="12.75" customHeight="1">
      <c r="A94" s="508"/>
      <c r="B94" s="504" t="s">
        <v>310</v>
      </c>
      <c r="C94" s="994"/>
      <c r="D94" s="994"/>
      <c r="E94" s="70"/>
      <c r="F94" s="982">
        <f>IF(C94=0,0,'Unit Rate Calculation PA'!$L$16)</f>
        <v>0</v>
      </c>
      <c r="G94" s="983"/>
      <c r="H94" s="990">
        <f t="shared" si="16"/>
        <v>0</v>
      </c>
      <c r="I94" s="990"/>
      <c r="N94" s="70"/>
      <c r="O94" s="70"/>
    </row>
    <row r="95" spans="1:15" s="73" customFormat="1" ht="12.75" customHeight="1">
      <c r="A95" s="508"/>
      <c r="B95" s="504" t="s">
        <v>311</v>
      </c>
      <c r="C95" s="994"/>
      <c r="D95" s="994"/>
      <c r="E95" s="70"/>
      <c r="F95" s="982">
        <f>IF(C95=0,0,'Unit Rate Calculation PA'!$L$16)</f>
        <v>0</v>
      </c>
      <c r="G95" s="983"/>
      <c r="H95" s="990">
        <f t="shared" si="16"/>
        <v>0</v>
      </c>
      <c r="I95" s="990"/>
      <c r="N95" s="70"/>
      <c r="O95" s="70"/>
    </row>
    <row r="96" spans="1:15" s="73" customFormat="1" ht="12.75" customHeight="1">
      <c r="A96" s="508"/>
      <c r="B96" s="503" t="s">
        <v>271</v>
      </c>
      <c r="C96" s="991" t="s">
        <v>72</v>
      </c>
      <c r="D96" s="991"/>
      <c r="E96" s="70"/>
      <c r="F96" s="982">
        <f>IF(C96=0,0,'Unit Rate Calculation PA'!$L$23)</f>
        <v>0</v>
      </c>
      <c r="G96" s="983"/>
      <c r="H96" s="990">
        <f>+C90*F96</f>
        <v>0</v>
      </c>
      <c r="I96" s="990"/>
      <c r="N96" s="70"/>
      <c r="O96" s="70"/>
    </row>
    <row r="97" spans="1:21" s="73" customFormat="1" ht="12.75" customHeight="1">
      <c r="A97" s="508"/>
      <c r="B97" s="503" t="s">
        <v>270</v>
      </c>
      <c r="C97" s="991" t="s">
        <v>72</v>
      </c>
      <c r="D97" s="991"/>
      <c r="E97" s="70"/>
      <c r="F97" s="982">
        <f>IF(C97=0,0,'Unit Rate Calculation PA'!$L$30)</f>
        <v>0</v>
      </c>
      <c r="G97" s="983"/>
      <c r="H97" s="990">
        <f>+C91*F97</f>
        <v>0</v>
      </c>
      <c r="I97" s="990"/>
      <c r="N97" s="70"/>
      <c r="O97" s="70"/>
    </row>
    <row r="98" spans="1:21" s="73" customFormat="1" ht="12.75" customHeight="1">
      <c r="A98" s="508"/>
      <c r="B98" s="505" t="s">
        <v>263</v>
      </c>
      <c r="C98" s="992"/>
      <c r="D98" s="992"/>
      <c r="E98" s="497"/>
      <c r="F98" s="982">
        <f>IF(C98=0,0,'Unit Rate Calculation PA'!$L$16)</f>
        <v>0</v>
      </c>
      <c r="G98" s="983"/>
      <c r="H98" s="990">
        <f t="shared" si="16"/>
        <v>0</v>
      </c>
      <c r="I98" s="990"/>
      <c r="N98" s="70"/>
      <c r="O98" s="70"/>
    </row>
    <row r="99" spans="1:21" s="73" customFormat="1" ht="12.75" customHeight="1">
      <c r="A99" s="508"/>
      <c r="B99" s="505" t="s">
        <v>269</v>
      </c>
      <c r="C99" s="992"/>
      <c r="D99" s="992"/>
      <c r="E99" s="497"/>
      <c r="F99" s="982">
        <f>IF(C99=0,0,'Unit Rate Calculation PA'!$L$16)</f>
        <v>0</v>
      </c>
      <c r="G99" s="983"/>
      <c r="H99" s="990">
        <f t="shared" si="16"/>
        <v>0</v>
      </c>
      <c r="I99" s="990"/>
      <c r="N99" s="70"/>
      <c r="O99" s="70"/>
    </row>
    <row r="100" spans="1:21" s="73" customFormat="1" ht="12.75" customHeight="1">
      <c r="A100" s="508"/>
      <c r="B100" s="505" t="s">
        <v>268</v>
      </c>
      <c r="C100" s="992"/>
      <c r="D100" s="992"/>
      <c r="E100" s="497"/>
      <c r="F100" s="982">
        <f>IF(C100=0,0,'Unit Rate Calculation PA'!$L$16)</f>
        <v>0</v>
      </c>
      <c r="G100" s="983"/>
      <c r="H100" s="990">
        <f t="shared" si="16"/>
        <v>0</v>
      </c>
      <c r="I100" s="990"/>
      <c r="N100" s="70"/>
      <c r="O100" s="70"/>
    </row>
    <row r="101" spans="1:21" s="73" customFormat="1" ht="12.75" customHeight="1">
      <c r="A101" s="509"/>
      <c r="B101" s="250" t="s">
        <v>267</v>
      </c>
      <c r="C101" s="993">
        <f>SUM(C90:C100)</f>
        <v>0</v>
      </c>
      <c r="D101" s="993"/>
      <c r="E101" s="156"/>
      <c r="F101" s="982"/>
      <c r="G101" s="983"/>
      <c r="H101" s="990">
        <f>SUM(H90:I100)</f>
        <v>0</v>
      </c>
      <c r="I101" s="990"/>
      <c r="N101" s="70"/>
      <c r="O101" s="70"/>
    </row>
    <row r="102" spans="1:21" s="73" customFormat="1" ht="12.75" customHeight="1">
      <c r="I102" s="410"/>
      <c r="L102" s="70"/>
      <c r="M102" s="70"/>
      <c r="N102" s="70"/>
      <c r="O102" s="70"/>
    </row>
    <row r="103" spans="1:21" s="73" customFormat="1" ht="12.75" customHeight="1">
      <c r="A103" s="112"/>
      <c r="B103" s="112"/>
      <c r="I103" s="410"/>
      <c r="L103" s="84"/>
      <c r="M103" s="84"/>
      <c r="N103" s="84"/>
      <c r="O103" s="84"/>
    </row>
    <row r="104" spans="1:21" s="73" customFormat="1" ht="12.75" customHeight="1">
      <c r="A104" s="112"/>
      <c r="B104" s="112"/>
      <c r="C104" s="156"/>
      <c r="D104" s="156"/>
      <c r="E104" s="156"/>
      <c r="F104" s="156"/>
      <c r="G104" s="499"/>
      <c r="H104" s="401"/>
      <c r="I104" s="410"/>
      <c r="J104" s="125"/>
      <c r="L104" s="401"/>
      <c r="M104" s="401"/>
      <c r="O104" s="84"/>
    </row>
    <row r="105" spans="1:21" s="73" customFormat="1" ht="12.75" customHeight="1">
      <c r="A105" s="112"/>
      <c r="B105" s="112"/>
      <c r="C105" s="156"/>
      <c r="D105" s="156"/>
      <c r="E105" s="156"/>
      <c r="F105" s="156"/>
      <c r="G105" s="499"/>
      <c r="H105" s="401"/>
      <c r="I105" s="410"/>
      <c r="J105" s="125"/>
      <c r="L105" s="401"/>
      <c r="M105" s="401"/>
      <c r="O105" s="84"/>
    </row>
    <row r="106" spans="1:21" s="73" customFormat="1" ht="12.75" customHeight="1">
      <c r="A106" s="112"/>
      <c r="B106" s="112"/>
      <c r="C106" s="112"/>
      <c r="D106" s="112"/>
      <c r="E106" s="112"/>
      <c r="F106" s="112"/>
      <c r="G106" s="125"/>
      <c r="H106" s="401"/>
      <c r="I106" s="410"/>
      <c r="J106" s="113"/>
      <c r="K106" s="113"/>
      <c r="L106" s="500"/>
      <c r="M106" s="500"/>
      <c r="N106" s="381"/>
      <c r="O106" s="500"/>
      <c r="P106" s="383"/>
      <c r="Q106" s="112"/>
      <c r="R106" s="112"/>
      <c r="S106" s="112"/>
      <c r="T106" s="125"/>
      <c r="U106" s="493"/>
    </row>
    <row r="107" spans="1:21">
      <c r="Q107"/>
      <c r="U107" s="373"/>
    </row>
    <row r="108" spans="1:21">
      <c r="Q108" s="70"/>
      <c r="U108" s="70"/>
    </row>
    <row r="109" spans="1:21">
      <c r="Q109" s="70"/>
      <c r="U109" s="70"/>
    </row>
    <row r="110" spans="1:21">
      <c r="Q110" s="70"/>
      <c r="U110" s="70"/>
    </row>
    <row r="111" spans="1:21">
      <c r="Q111" s="70"/>
      <c r="U111" s="70"/>
    </row>
    <row r="112" spans="1:21">
      <c r="Q112" s="70"/>
      <c r="U112" s="70"/>
    </row>
    <row r="113" spans="17:21">
      <c r="Q113" s="70"/>
      <c r="U113" s="70"/>
    </row>
    <row r="114" spans="17:21">
      <c r="Q114" s="70"/>
      <c r="U114" s="70"/>
    </row>
    <row r="115" spans="17:21">
      <c r="Q115" s="70"/>
      <c r="U115" s="70"/>
    </row>
    <row r="116" spans="17:21">
      <c r="Q116" s="70"/>
      <c r="U116" s="70"/>
    </row>
    <row r="117" spans="17:21">
      <c r="Q117" s="70"/>
      <c r="U117" s="70"/>
    </row>
    <row r="118" spans="17:21">
      <c r="Q118" s="70"/>
      <c r="U118" s="70"/>
    </row>
    <row r="119" spans="17:21" ht="26">
      <c r="Q119" s="84"/>
      <c r="U119" s="501" t="s">
        <v>262</v>
      </c>
    </row>
    <row r="120" spans="17:21" ht="12.75" customHeight="1"/>
    <row r="121" spans="17:21" ht="12.75" customHeight="1"/>
  </sheetData>
  <sheetProtection formatCells="0"/>
  <customSheetViews>
    <customSheetView guid="{DDFE7685-90A4-42DC-AFD9-89B5EC30420E}" scale="60" showPageBreaks="1" fitToPage="1" printArea="1" topLeftCell="A31">
      <selection activeCell="I29" sqref="I29"/>
      <rowBreaks count="3" manualBreakCount="3">
        <brk id="6" max="16383" man="1"/>
        <brk id="41" max="14" man="1"/>
        <brk id="78" max="14" man="1"/>
      </rowBreaks>
      <colBreaks count="2" manualBreakCount="2">
        <brk id="16" max="1048575" man="1"/>
        <brk id="17" max="1048575" man="1"/>
      </colBreaks>
      <pageMargins left="0.25" right="0.47" top="0.75" bottom="0.31" header="0.3" footer="0.97"/>
      <pageSetup paperSize="5" scale="72" fitToHeight="0" orientation="landscape" r:id="rId1"/>
    </customSheetView>
  </customSheetViews>
  <mergeCells count="85">
    <mergeCell ref="O1:O81"/>
    <mergeCell ref="B1:N1"/>
    <mergeCell ref="B28:G28"/>
    <mergeCell ref="H2:H4"/>
    <mergeCell ref="M14:N16"/>
    <mergeCell ref="M18:N22"/>
    <mergeCell ref="M24:N27"/>
    <mergeCell ref="I2:N4"/>
    <mergeCell ref="B6:B7"/>
    <mergeCell ref="C6:C7"/>
    <mergeCell ref="M6:N7"/>
    <mergeCell ref="I5:K5"/>
    <mergeCell ref="D6:G7"/>
    <mergeCell ref="M37:N41"/>
    <mergeCell ref="M12:N12"/>
    <mergeCell ref="I9:I12"/>
    <mergeCell ref="M43:N52"/>
    <mergeCell ref="M29:N35"/>
    <mergeCell ref="C96:D96"/>
    <mergeCell ref="M54:N62"/>
    <mergeCell ref="M64:N78"/>
    <mergeCell ref="C89:D89"/>
    <mergeCell ref="C90:D90"/>
    <mergeCell ref="H90:I90"/>
    <mergeCell ref="H89:I89"/>
    <mergeCell ref="M82:N82"/>
    <mergeCell ref="M83:N83"/>
    <mergeCell ref="M80:N80"/>
    <mergeCell ref="H95:I95"/>
    <mergeCell ref="C91:D91"/>
    <mergeCell ref="C92:D92"/>
    <mergeCell ref="C93:D93"/>
    <mergeCell ref="C94:D94"/>
    <mergeCell ref="C95:D95"/>
    <mergeCell ref="F95:G95"/>
    <mergeCell ref="F91:G91"/>
    <mergeCell ref="F93:G93"/>
    <mergeCell ref="F92:G92"/>
    <mergeCell ref="F96:G96"/>
    <mergeCell ref="F94:G94"/>
    <mergeCell ref="F97:G97"/>
    <mergeCell ref="F101:G101"/>
    <mergeCell ref="F98:G98"/>
    <mergeCell ref="F99:G99"/>
    <mergeCell ref="F100:G100"/>
    <mergeCell ref="C97:D97"/>
    <mergeCell ref="C98:D98"/>
    <mergeCell ref="C99:D99"/>
    <mergeCell ref="C100:D100"/>
    <mergeCell ref="C101:D101"/>
    <mergeCell ref="I6:K7"/>
    <mergeCell ref="J9:J12"/>
    <mergeCell ref="H99:I99"/>
    <mergeCell ref="H100:I100"/>
    <mergeCell ref="H101:I101"/>
    <mergeCell ref="H97:I97"/>
    <mergeCell ref="I8:K8"/>
    <mergeCell ref="H98:I98"/>
    <mergeCell ref="H96:I96"/>
    <mergeCell ref="H91:I91"/>
    <mergeCell ref="H92:I92"/>
    <mergeCell ref="H93:I93"/>
    <mergeCell ref="H94:I94"/>
    <mergeCell ref="K9:K12"/>
    <mergeCell ref="B79:G79"/>
    <mergeCell ref="B53:G53"/>
    <mergeCell ref="B17:G17"/>
    <mergeCell ref="B23:G23"/>
    <mergeCell ref="B42:G42"/>
    <mergeCell ref="C5:D5"/>
    <mergeCell ref="C2:G2"/>
    <mergeCell ref="C3:G3"/>
    <mergeCell ref="C4:G4"/>
    <mergeCell ref="F90:G90"/>
    <mergeCell ref="B8:G8"/>
    <mergeCell ref="G9:G12"/>
    <mergeCell ref="B9:B12"/>
    <mergeCell ref="C9:C12"/>
    <mergeCell ref="D9:D12"/>
    <mergeCell ref="E9:E12"/>
    <mergeCell ref="F9:F12"/>
    <mergeCell ref="B36:G36"/>
    <mergeCell ref="B63:G63"/>
    <mergeCell ref="B13:G13"/>
    <mergeCell ref="F89:G89"/>
  </mergeCells>
  <dataValidations xWindow="1037" yWindow="595" count="5">
    <dataValidation type="decimal" allowBlank="1" showInputMessage="1" showErrorMessage="1" sqref="C81:D81 D83" xr:uid="{00000000-0002-0000-0C00-000000000000}">
      <formula1>0</formula1>
      <formula2>9999999999.99</formula2>
    </dataValidation>
    <dataValidation type="whole" allowBlank="1" showInputMessage="1" showErrorMessage="1" sqref="C90:D95 C98:D101" xr:uid="{00000000-0002-0000-0C00-000001000000}">
      <formula1>0</formula1>
      <formula2>99999999999</formula2>
    </dataValidation>
    <dataValidation type="decimal" allowBlank="1" showInputMessage="1" showErrorMessage="1" sqref="I20:J21 C43:D51 C54:D61 C29:D34 C24:D26 C20:C21 C64:D77 C37:D40 I24:I26 I29:I34 I37:I40 I43:I51 I54:I61 I64:I77" xr:uid="{00000000-0002-0000-0C00-000002000000}">
      <formula1>0</formula1>
      <formula2>15000000</formula2>
    </dataValidation>
    <dataValidation type="decimal" allowBlank="1" showInputMessage="1" showErrorMessage="1" sqref="D18:D21 K15 C18:C19 C14:D15 I18:K19 I14:I15" xr:uid="{00000000-0002-0000-0C00-000003000000}">
      <formula1>0</formula1>
      <formula2>150000000</formula2>
    </dataValidation>
    <dataValidation allowBlank="1" showErrorMessage="1" promptTitle="Explanation of Variance" prompt="If an explanations was entered on the &quot;Home Delivered Meal Budget&quot; this cost center was updated with the same explanation. If this explanation is not correct for this service and cost center, delete the explanation and enter the correct information. " sqref="M14:N16 M18:N22 M24:N27 M29:N35 M37:N41 M43:N52 M54:N62 M64:N78" xr:uid="{00000000-0002-0000-0C00-000004000000}"/>
  </dataValidations>
  <pageMargins left="0.25" right="0.47" top="0.75" bottom="0.31" header="0.3" footer="0.97"/>
  <pageSetup paperSize="5" scale="72" fitToHeight="0" orientation="landscape" r:id="rId2"/>
  <rowBreaks count="3" manualBreakCount="3">
    <brk id="6" max="16383" man="1"/>
    <brk id="41" max="14" man="1"/>
    <brk id="78" max="14" man="1"/>
  </rowBreaks>
  <colBreaks count="2" manualBreakCount="2">
    <brk id="16" max="1048575" man="1"/>
    <brk id="17"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theme="9" tint="-0.249977111117893"/>
    <pageSetUpPr fitToPage="1"/>
  </sheetPr>
  <dimension ref="B1:M118"/>
  <sheetViews>
    <sheetView showGridLines="0" topLeftCell="A48" zoomScaleNormal="100" workbookViewId="0">
      <selection activeCell="I28" sqref="I28"/>
    </sheetView>
  </sheetViews>
  <sheetFormatPr defaultColWidth="9.1796875" defaultRowHeight="12.5"/>
  <cols>
    <col min="1" max="1" width="2.81640625" customWidth="1"/>
    <col min="2" max="2" width="3.81640625" customWidth="1"/>
    <col min="3" max="3" width="2.54296875" customWidth="1"/>
    <col min="4" max="4" width="21.1796875" customWidth="1"/>
    <col min="5" max="5" width="9.453125" customWidth="1"/>
    <col min="6" max="6" width="14.26953125" customWidth="1"/>
    <col min="7" max="7" width="13.7265625" customWidth="1"/>
    <col min="8" max="8" width="14.81640625" customWidth="1"/>
    <col min="9" max="9" width="12.1796875" customWidth="1"/>
    <col min="10" max="10" width="9.453125" customWidth="1"/>
    <col min="11" max="11" width="3.453125" customWidth="1"/>
    <col min="12" max="12" width="14.81640625" customWidth="1"/>
    <col min="13" max="14" width="3.26953125" customWidth="1"/>
  </cols>
  <sheetData>
    <row r="1" spans="3:12">
      <c r="D1" s="977">
        <f ca="1">NOW()</f>
        <v>45380.323058564813</v>
      </c>
      <c r="E1" s="977"/>
    </row>
    <row r="2" spans="3:12">
      <c r="D2" s="273" t="s">
        <v>26</v>
      </c>
      <c r="E2" s="779">
        <f>+'Provider Information'!F6</f>
        <v>0</v>
      </c>
      <c r="F2" s="780"/>
      <c r="G2" s="780"/>
      <c r="H2" s="780"/>
      <c r="I2" s="780"/>
      <c r="J2" s="9"/>
    </row>
    <row r="3" spans="3:12">
      <c r="D3" s="572" t="s">
        <v>388</v>
      </c>
      <c r="E3" s="779">
        <f>+'Provider Information'!D21</f>
        <v>0</v>
      </c>
      <c r="F3" s="779"/>
      <c r="G3" s="779"/>
      <c r="H3" s="779"/>
      <c r="I3" s="779"/>
      <c r="J3" s="779"/>
    </row>
    <row r="4" spans="3:12" ht="15.5">
      <c r="C4" s="1021" t="str">
        <f>+'Provider Total Budget by Serv'!J4</f>
        <v>Participant Assessment</v>
      </c>
      <c r="D4" s="1022"/>
      <c r="E4" s="1022"/>
      <c r="F4" s="1022"/>
      <c r="G4" s="1022"/>
      <c r="H4" s="1022"/>
      <c r="I4" s="1022"/>
      <c r="J4" s="1022"/>
      <c r="K4" s="1022"/>
      <c r="L4" s="1022"/>
    </row>
    <row r="5" spans="3:12" ht="15.5">
      <c r="C5" s="1022" t="s">
        <v>292</v>
      </c>
      <c r="D5" s="1022"/>
      <c r="E5" s="1022"/>
      <c r="F5" s="1022"/>
      <c r="G5" s="1022"/>
      <c r="H5" s="1022"/>
      <c r="I5" s="1022"/>
      <c r="J5" s="1022"/>
      <c r="K5" s="1022"/>
      <c r="L5" s="1022"/>
    </row>
    <row r="6" spans="3:12">
      <c r="C6" s="703"/>
      <c r="D6" s="703"/>
      <c r="E6" s="703"/>
      <c r="F6" s="703"/>
      <c r="G6" s="703"/>
      <c r="H6" s="703"/>
      <c r="I6" s="703"/>
      <c r="J6" s="703"/>
      <c r="K6" s="703"/>
      <c r="L6" s="703"/>
    </row>
    <row r="7" spans="3:12">
      <c r="C7" s="872" t="s">
        <v>291</v>
      </c>
      <c r="D7" s="872"/>
      <c r="E7" s="872"/>
      <c r="F7" s="872"/>
      <c r="G7" s="872"/>
      <c r="H7" s="872"/>
      <c r="I7" s="872"/>
      <c r="J7" s="872"/>
      <c r="K7" s="3" t="s">
        <v>0</v>
      </c>
      <c r="L7" s="4">
        <f>+'Participant Assessment Budget'!I80</f>
        <v>0</v>
      </c>
    </row>
    <row r="8" spans="3:12">
      <c r="C8" s="703"/>
      <c r="D8" s="703"/>
      <c r="E8" s="703"/>
      <c r="F8" s="703"/>
      <c r="G8" s="703"/>
      <c r="H8" s="703"/>
      <c r="I8" s="703"/>
      <c r="J8" s="703"/>
      <c r="K8" s="703"/>
      <c r="L8" s="703"/>
    </row>
    <row r="9" spans="3:12">
      <c r="C9" s="872" t="s">
        <v>290</v>
      </c>
      <c r="D9" s="872"/>
      <c r="E9" s="872"/>
      <c r="F9" s="872"/>
      <c r="G9" s="872"/>
      <c r="H9" s="872"/>
      <c r="I9" s="872"/>
      <c r="J9" s="872"/>
      <c r="K9" s="872"/>
      <c r="L9" s="872"/>
    </row>
    <row r="10" spans="3:12" ht="25">
      <c r="C10" s="1023" t="str">
        <f>+'Participant Assessment Budget'!B90</f>
        <v>HHS OAAA - 10 % Match Required</v>
      </c>
      <c r="D10" s="1023"/>
      <c r="E10" s="121">
        <f>+'Participant Assessment Budget'!C90</f>
        <v>0</v>
      </c>
      <c r="F10" s="66" t="str">
        <f>+'Participant Assessment Budget'!B93</f>
        <v xml:space="preserve">Program Income </v>
      </c>
      <c r="G10" s="121">
        <f>+'Participant Assessment Budget'!C93</f>
        <v>0</v>
      </c>
      <c r="H10" s="66" t="str">
        <f>+'Participant Assessment Budget'!B98</f>
        <v>Other Sources 6</v>
      </c>
      <c r="I10" s="121">
        <f>+'Participant Assessment Budget'!C98</f>
        <v>0</v>
      </c>
      <c r="J10" s="1"/>
      <c r="K10" s="1"/>
      <c r="L10" s="1"/>
    </row>
    <row r="11" spans="3:12">
      <c r="C11" s="1024" t="str">
        <f>+'Participant Assessment Budget'!B91</f>
        <v>HHS OAAA - 25 % Match Required</v>
      </c>
      <c r="D11" s="1024"/>
      <c r="E11" s="121">
        <f>+'Participant Assessment Budget'!C91</f>
        <v>0</v>
      </c>
      <c r="F11" s="66" t="str">
        <f>+'Participant Assessment Budget'!B94</f>
        <v xml:space="preserve">Local Funds </v>
      </c>
      <c r="G11" s="121">
        <f>+'Participant Assessment Budget'!C94</f>
        <v>0</v>
      </c>
      <c r="H11" s="66" t="str">
        <f>+'Participant Assessment Budget'!B99</f>
        <v>Other Sources 7</v>
      </c>
      <c r="I11" s="121">
        <f>+'Participant Assessment Budget'!C99</f>
        <v>0</v>
      </c>
      <c r="J11" s="870"/>
      <c r="K11" s="870"/>
      <c r="L11" s="870"/>
    </row>
    <row r="12" spans="3:12">
      <c r="C12" s="1024" t="str">
        <f>+'Participant Assessment Budget'!B92</f>
        <v xml:space="preserve">HHS OAAA - Full Unit Rate </v>
      </c>
      <c r="D12" s="1024"/>
      <c r="E12" s="121">
        <f>+'Participant Assessment Budget'!C92</f>
        <v>0</v>
      </c>
      <c r="F12" s="66" t="str">
        <f>+'Participant Assessment Budget'!B95</f>
        <v xml:space="preserve">Other Funds </v>
      </c>
      <c r="G12" s="121">
        <f>+'Participant Assessment Budget'!C95</f>
        <v>0</v>
      </c>
      <c r="H12" s="66" t="str">
        <f>+'Participant Assessment Budget'!B100</f>
        <v>Other Sources 8</v>
      </c>
      <c r="I12" s="121">
        <f>+'Participant Assessment Budget'!C100</f>
        <v>0</v>
      </c>
      <c r="J12" s="11"/>
      <c r="K12" s="36" t="s">
        <v>2</v>
      </c>
      <c r="L12" s="6">
        <f>+E10+E11+E12+G10+G11+G12+I10+I11+I12</f>
        <v>0</v>
      </c>
    </row>
    <row r="13" spans="3:12" ht="9.75" customHeight="1">
      <c r="C13" s="703"/>
      <c r="D13" s="703"/>
      <c r="E13" s="703"/>
      <c r="F13" s="703"/>
      <c r="G13" s="703"/>
      <c r="H13" s="703"/>
      <c r="I13" s="703"/>
      <c r="J13" s="703"/>
      <c r="K13" s="703"/>
      <c r="L13" s="703"/>
    </row>
    <row r="14" spans="3:12" ht="13">
      <c r="C14" s="876"/>
      <c r="D14" s="876"/>
      <c r="E14" s="876"/>
      <c r="F14" s="876"/>
      <c r="G14" s="876"/>
      <c r="H14" s="876"/>
      <c r="I14" s="876"/>
      <c r="J14" s="876"/>
      <c r="K14" s="876"/>
      <c r="L14" s="876"/>
    </row>
    <row r="15" spans="3:12" ht="6.75" customHeight="1">
      <c r="C15" s="703"/>
      <c r="D15" s="703"/>
      <c r="E15" s="703"/>
      <c r="F15" s="703"/>
      <c r="G15" s="703"/>
      <c r="H15" s="703"/>
      <c r="I15" s="703"/>
      <c r="J15" s="703"/>
      <c r="K15" s="703"/>
      <c r="L15" s="703"/>
    </row>
    <row r="16" spans="3:12">
      <c r="C16" s="872" t="s">
        <v>289</v>
      </c>
      <c r="D16" s="872"/>
      <c r="E16" s="872"/>
      <c r="F16" s="872"/>
      <c r="G16" s="872"/>
      <c r="H16" s="872"/>
      <c r="I16" s="872"/>
      <c r="J16" s="872"/>
      <c r="K16" s="3" t="s">
        <v>3</v>
      </c>
      <c r="L16" s="4">
        <f>ROUND(IF(L12=0,0,+L7/L12),2)</f>
        <v>0</v>
      </c>
    </row>
    <row r="17" spans="2:13">
      <c r="C17" s="703"/>
      <c r="D17" s="703"/>
      <c r="E17" s="703"/>
      <c r="F17" s="703"/>
      <c r="G17" s="703"/>
      <c r="H17" s="703"/>
      <c r="I17" s="703"/>
      <c r="J17" s="703"/>
      <c r="K17" s="703"/>
      <c r="L17" s="703"/>
    </row>
    <row r="18" spans="2:13">
      <c r="C18" s="1027" t="s">
        <v>288</v>
      </c>
      <c r="D18" s="1027"/>
      <c r="E18" s="1027"/>
      <c r="F18" s="1027"/>
      <c r="G18" s="1027"/>
      <c r="H18" s="1027"/>
      <c r="I18" s="1027"/>
      <c r="J18" s="1027"/>
      <c r="K18" s="1027"/>
      <c r="L18" s="1027"/>
    </row>
    <row r="19" spans="2:13">
      <c r="C19" s="143"/>
      <c r="D19" s="143"/>
      <c r="E19" s="143"/>
      <c r="F19" s="143"/>
      <c r="G19" s="143"/>
      <c r="H19" s="143"/>
      <c r="I19" s="143"/>
      <c r="J19" s="143"/>
      <c r="K19" s="143"/>
      <c r="L19" s="143"/>
    </row>
    <row r="20" spans="2:13">
      <c r="B20" s="141"/>
      <c r="C20" s="877"/>
      <c r="D20" s="877"/>
      <c r="E20" s="877"/>
      <c r="F20" s="877"/>
      <c r="G20" s="877"/>
      <c r="H20" s="877"/>
      <c r="I20" s="877"/>
      <c r="J20" s="877"/>
      <c r="K20" s="877"/>
      <c r="L20" s="877"/>
      <c r="M20" s="48"/>
    </row>
    <row r="21" spans="2:13">
      <c r="B21" s="59"/>
      <c r="C21" s="2" t="s">
        <v>287</v>
      </c>
      <c r="D21" s="2"/>
      <c r="E21" s="648">
        <v>0.1</v>
      </c>
      <c r="I21" s="142">
        <f>ROUND(IF(L16="","",+L16*E21),2)</f>
        <v>0</v>
      </c>
      <c r="M21" s="50"/>
    </row>
    <row r="22" spans="2:13">
      <c r="B22" s="59"/>
      <c r="C22" s="873" t="s">
        <v>286</v>
      </c>
      <c r="D22" s="873"/>
      <c r="E22" s="873"/>
      <c r="F22" s="873"/>
      <c r="G22" s="873"/>
      <c r="H22" s="873"/>
      <c r="I22" s="4">
        <f>ROUND(-J111,2)</f>
        <v>0</v>
      </c>
      <c r="M22" s="50"/>
    </row>
    <row r="23" spans="2:13">
      <c r="B23" s="59"/>
      <c r="C23" s="861" t="s">
        <v>285</v>
      </c>
      <c r="D23" s="861"/>
      <c r="E23" s="861"/>
      <c r="F23" s="861"/>
      <c r="H23" s="1"/>
      <c r="I23" s="119"/>
      <c r="J23" s="1"/>
      <c r="K23" s="3" t="s">
        <v>284</v>
      </c>
      <c r="L23" s="4">
        <f>IF(+I21="",0,+I21+I22)</f>
        <v>0</v>
      </c>
      <c r="M23" s="50"/>
    </row>
    <row r="24" spans="2:13">
      <c r="B24" s="59"/>
      <c r="C24" s="872" t="s">
        <v>283</v>
      </c>
      <c r="D24" s="872"/>
      <c r="E24" s="872"/>
      <c r="F24" s="872"/>
      <c r="I24" s="118"/>
      <c r="K24" s="3" t="s">
        <v>282</v>
      </c>
      <c r="L24" s="142">
        <f>ROUND(IF(L16&gt;0,L16-L23,0),2)</f>
        <v>0</v>
      </c>
      <c r="M24" s="50"/>
    </row>
    <row r="25" spans="2:13">
      <c r="B25" s="65"/>
      <c r="C25" s="136"/>
      <c r="D25" s="136"/>
      <c r="E25" s="136"/>
      <c r="F25" s="136"/>
      <c r="G25" s="5"/>
      <c r="H25" s="5"/>
      <c r="I25" s="4"/>
      <c r="J25" s="5"/>
      <c r="K25" s="135"/>
      <c r="L25" s="4"/>
      <c r="M25" s="54"/>
    </row>
    <row r="26" spans="2:13">
      <c r="C26" s="2"/>
      <c r="D26" s="2"/>
      <c r="E26" s="2"/>
      <c r="F26" s="2"/>
      <c r="I26" s="118"/>
      <c r="K26" s="3"/>
      <c r="L26" s="118"/>
    </row>
    <row r="27" spans="2:13">
      <c r="B27" s="141"/>
      <c r="C27" s="140"/>
      <c r="D27" s="140"/>
      <c r="E27" s="140"/>
      <c r="F27" s="140"/>
      <c r="G27" s="46"/>
      <c r="H27" s="46"/>
      <c r="I27" s="138"/>
      <c r="J27" s="46"/>
      <c r="K27" s="139"/>
      <c r="L27" s="138"/>
      <c r="M27" s="48"/>
    </row>
    <row r="28" spans="2:13">
      <c r="B28" s="59"/>
      <c r="C28" s="2" t="s">
        <v>287</v>
      </c>
      <c r="D28" s="2"/>
      <c r="E28" s="648">
        <v>0.25</v>
      </c>
      <c r="I28" s="4">
        <f>ROUND(IF(L16="","",+L16*E28),2)</f>
        <v>0</v>
      </c>
      <c r="M28" s="50"/>
    </row>
    <row r="29" spans="2:13">
      <c r="B29" s="59"/>
      <c r="C29" s="873" t="s">
        <v>286</v>
      </c>
      <c r="D29" s="873"/>
      <c r="E29" s="873"/>
      <c r="F29" s="873"/>
      <c r="G29" s="873"/>
      <c r="H29" s="873"/>
      <c r="I29" s="4">
        <f>ROUND(-J111,2)</f>
        <v>0</v>
      </c>
      <c r="M29" s="50"/>
    </row>
    <row r="30" spans="2:13">
      <c r="B30" s="59"/>
      <c r="C30" s="861" t="s">
        <v>285</v>
      </c>
      <c r="D30" s="861"/>
      <c r="E30" s="861"/>
      <c r="F30" s="861"/>
      <c r="H30" s="1"/>
      <c r="I30" s="119"/>
      <c r="J30" s="1"/>
      <c r="K30" s="3" t="s">
        <v>284</v>
      </c>
      <c r="L30" s="4">
        <f>IF(+I28="",0,+I28+I29)</f>
        <v>0</v>
      </c>
      <c r="M30" s="50"/>
    </row>
    <row r="31" spans="2:13">
      <c r="B31" s="59"/>
      <c r="C31" s="872" t="s">
        <v>283</v>
      </c>
      <c r="D31" s="872"/>
      <c r="E31" s="872"/>
      <c r="F31" s="872"/>
      <c r="I31" s="118"/>
      <c r="K31" s="3" t="s">
        <v>282</v>
      </c>
      <c r="L31" s="4">
        <f>ROUND(IF(L16&gt;0,L16-L30,0),2)</f>
        <v>0</v>
      </c>
      <c r="M31" s="50"/>
    </row>
    <row r="32" spans="2:13">
      <c r="B32" s="65"/>
      <c r="C32" s="136"/>
      <c r="D32" s="136"/>
      <c r="E32" s="136"/>
      <c r="F32" s="136"/>
      <c r="G32" s="5"/>
      <c r="H32" s="5"/>
      <c r="I32" s="4"/>
      <c r="J32" s="5"/>
      <c r="K32" s="135"/>
      <c r="L32" s="4"/>
      <c r="M32" s="54"/>
    </row>
    <row r="33" spans="2:13">
      <c r="C33" s="2"/>
      <c r="D33" s="2"/>
      <c r="E33" s="2"/>
      <c r="F33" s="2"/>
      <c r="I33" s="118"/>
      <c r="K33" s="3"/>
      <c r="L33" s="118"/>
    </row>
    <row r="35" spans="2:13">
      <c r="C35" t="s">
        <v>281</v>
      </c>
    </row>
    <row r="37" spans="2:13" ht="13" thickBot="1">
      <c r="B37" s="128"/>
      <c r="C37" s="128"/>
      <c r="D37" s="128"/>
      <c r="E37" s="128"/>
      <c r="F37" s="128"/>
      <c r="G37" s="128"/>
      <c r="H37" s="128"/>
      <c r="I37" s="128"/>
      <c r="J37" s="128"/>
      <c r="K37" s="128"/>
      <c r="L37" s="128"/>
      <c r="M37" s="128"/>
    </row>
    <row r="38" spans="2:13" ht="13" thickTop="1">
      <c r="B38" s="134"/>
      <c r="M38" s="133"/>
    </row>
    <row r="39" spans="2:13" ht="13">
      <c r="B39" s="131"/>
      <c r="C39" s="132" t="s">
        <v>280</v>
      </c>
      <c r="M39" s="130"/>
    </row>
    <row r="40" spans="2:13">
      <c r="B40" s="131"/>
      <c r="L40" s="118"/>
      <c r="M40" s="130"/>
    </row>
    <row r="41" spans="2:13">
      <c r="B41" s="131"/>
      <c r="D41" s="4">
        <f>+L16</f>
        <v>0</v>
      </c>
      <c r="F41" s="5"/>
      <c r="H41" s="5"/>
      <c r="L41" s="118"/>
      <c r="M41" s="130"/>
    </row>
    <row r="42" spans="2:13">
      <c r="B42" s="131"/>
      <c r="F42" t="s">
        <v>279</v>
      </c>
      <c r="H42" s="1" t="s">
        <v>278</v>
      </c>
      <c r="L42" s="118"/>
      <c r="M42" s="130"/>
    </row>
    <row r="43" spans="2:13">
      <c r="B43" s="131"/>
      <c r="M43" s="130"/>
    </row>
    <row r="44" spans="2:13" ht="13" thickBot="1">
      <c r="B44" s="129"/>
      <c r="C44" s="128"/>
      <c r="D44" s="128"/>
      <c r="E44" s="128"/>
      <c r="F44" s="128"/>
      <c r="G44" s="128"/>
      <c r="H44" s="128"/>
      <c r="I44" s="128"/>
      <c r="J44" s="128"/>
      <c r="K44" s="128"/>
      <c r="L44" s="128"/>
      <c r="M44" s="127"/>
    </row>
    <row r="45" spans="2:13" ht="13" thickTop="1">
      <c r="H45" s="1"/>
      <c r="L45" s="118"/>
    </row>
    <row r="48" spans="2:13" ht="39.75" customHeight="1">
      <c r="D48" s="964" t="str">
        <f>IF('Participant Assessment Budget'!C2=0,"",'Participant Assessment Budget'!C2)</f>
        <v/>
      </c>
      <c r="E48" s="964"/>
      <c r="F48" s="964"/>
      <c r="H48" s="968" t="str">
        <f>IF('Participant Assessment Budget'!C3=0,"",'Participant Assessment Budget'!C3)</f>
        <v/>
      </c>
      <c r="I48" s="968"/>
      <c r="J48" s="968"/>
      <c r="K48" s="968"/>
    </row>
    <row r="49" spans="4:11">
      <c r="D49" s="877" t="s">
        <v>33</v>
      </c>
      <c r="E49" s="877"/>
      <c r="F49" s="877"/>
      <c r="H49" s="877" t="s">
        <v>37</v>
      </c>
      <c r="I49" s="877"/>
      <c r="J49" s="877"/>
      <c r="K49" s="877"/>
    </row>
    <row r="52" spans="4:11">
      <c r="D52" s="966"/>
      <c r="E52" s="881"/>
      <c r="F52" s="881"/>
      <c r="H52" s="966"/>
      <c r="I52" s="881"/>
      <c r="J52" s="881"/>
      <c r="K52" s="881"/>
    </row>
    <row r="53" spans="4:11">
      <c r="D53" s="877" t="s">
        <v>35</v>
      </c>
      <c r="E53" s="877"/>
      <c r="F53" s="877"/>
      <c r="H53" s="877" t="s">
        <v>35</v>
      </c>
      <c r="I53" s="877"/>
      <c r="J53" s="877"/>
      <c r="K53" s="877"/>
    </row>
    <row r="55" spans="4:11">
      <c r="D55" s="966">
        <f>'Provider Information'!$F$13</f>
        <v>0</v>
      </c>
      <c r="E55" s="881"/>
      <c r="F55" s="881"/>
      <c r="H55" s="966">
        <f>'Provider Information'!$D$22</f>
        <v>0</v>
      </c>
      <c r="I55" s="881"/>
      <c r="J55" s="881"/>
      <c r="K55" s="881"/>
    </row>
    <row r="56" spans="4:11">
      <c r="D56" s="877" t="s">
        <v>34</v>
      </c>
      <c r="E56" s="877"/>
      <c r="F56" s="877"/>
      <c r="H56" s="877" t="s">
        <v>34</v>
      </c>
      <c r="I56" s="877"/>
      <c r="J56" s="877"/>
      <c r="K56" s="877"/>
    </row>
    <row r="59" spans="4:11">
      <c r="D59" s="1025"/>
      <c r="E59" s="1026"/>
      <c r="F59" s="1026"/>
      <c r="H59" s="1025"/>
      <c r="I59" s="1026"/>
      <c r="J59" s="1026"/>
      <c r="K59" s="1026"/>
    </row>
    <row r="60" spans="4:11">
      <c r="D60" s="877" t="s">
        <v>36</v>
      </c>
      <c r="E60" s="877"/>
      <c r="F60" s="877"/>
      <c r="H60" s="877" t="s">
        <v>36</v>
      </c>
      <c r="I60" s="877"/>
      <c r="J60" s="877"/>
      <c r="K60" s="877"/>
    </row>
    <row r="102" spans="4:12" ht="13">
      <c r="D102" s="708" t="s">
        <v>58</v>
      </c>
      <c r="E102" s="708"/>
      <c r="F102" s="708"/>
      <c r="G102" s="708"/>
      <c r="H102" s="708"/>
      <c r="I102" s="708"/>
      <c r="J102" s="708"/>
    </row>
    <row r="103" spans="4:12">
      <c r="D103" t="s">
        <v>59</v>
      </c>
      <c r="J103" s="9">
        <f>+I21</f>
        <v>0</v>
      </c>
    </row>
    <row r="104" spans="4:12">
      <c r="D104" t="s">
        <v>277</v>
      </c>
      <c r="J104" s="6">
        <f>IF(E10=0,L12,+E10)</f>
        <v>0</v>
      </c>
    </row>
    <row r="105" spans="4:12">
      <c r="D105" t="s">
        <v>60</v>
      </c>
      <c r="E105" s="1"/>
      <c r="J105" s="126">
        <f>+J103*J104</f>
        <v>0</v>
      </c>
    </row>
    <row r="106" spans="4:12">
      <c r="D106" t="s">
        <v>61</v>
      </c>
      <c r="J106" s="13">
        <f>+'In-Kind Certification PA'!G25</f>
        <v>0</v>
      </c>
    </row>
    <row r="107" spans="4:12">
      <c r="D107" t="s">
        <v>62</v>
      </c>
      <c r="J107" s="11">
        <f>+J105-J106</f>
        <v>0</v>
      </c>
    </row>
    <row r="108" spans="4:12">
      <c r="D108" t="s">
        <v>78</v>
      </c>
      <c r="J108" s="6">
        <f>IF(+E10=0,L12,+E10)</f>
        <v>0</v>
      </c>
    </row>
    <row r="109" spans="4:12">
      <c r="D109" t="s">
        <v>64</v>
      </c>
      <c r="J109" s="12">
        <f>IF(J107=0,0,+J107/J108)</f>
        <v>0</v>
      </c>
      <c r="K109" s="1"/>
      <c r="L109" s="1"/>
    </row>
    <row r="110" spans="4:12">
      <c r="D110" t="s">
        <v>63</v>
      </c>
      <c r="J110" s="13">
        <f>+I21</f>
        <v>0</v>
      </c>
    </row>
    <row r="111" spans="4:12">
      <c r="D111" t="s">
        <v>65</v>
      </c>
      <c r="J111" s="9">
        <f>IF(+J109&lt;=0,+J110,+J110-J109)</f>
        <v>0</v>
      </c>
    </row>
    <row r="112" spans="4:12">
      <c r="J112" s="10"/>
    </row>
    <row r="113" spans="10:10">
      <c r="J113" s="11"/>
    </row>
    <row r="114" spans="10:10">
      <c r="J114" s="11"/>
    </row>
    <row r="115" spans="10:10">
      <c r="J115" s="11"/>
    </row>
    <row r="116" spans="10:10">
      <c r="J116" s="11"/>
    </row>
    <row r="117" spans="10:10">
      <c r="J117" s="11"/>
    </row>
    <row r="118" spans="10:10">
      <c r="J118" s="11"/>
    </row>
  </sheetData>
  <sheetProtection formatCells="0"/>
  <customSheetViews>
    <customSheetView guid="{DDFE7685-90A4-42DC-AFD9-89B5EC30420E}" showPageBreaks="1" showGridLines="0" fitToPage="1" printArea="1">
      <selection activeCell="F75" sqref="F75"/>
      <pageMargins left="0.7" right="0.7" top="0.75" bottom="0.75" header="0.3" footer="0.3"/>
      <pageSetup paperSize="5" scale="10" orientation="portrait" r:id="rId1"/>
    </customSheetView>
  </customSheetViews>
  <mergeCells count="43">
    <mergeCell ref="E2:I2"/>
    <mergeCell ref="D52:F52"/>
    <mergeCell ref="H52:K52"/>
    <mergeCell ref="C24:F24"/>
    <mergeCell ref="C22:H22"/>
    <mergeCell ref="C23:F23"/>
    <mergeCell ref="D49:F49"/>
    <mergeCell ref="C18:L18"/>
    <mergeCell ref="C14:L14"/>
    <mergeCell ref="C11:D11"/>
    <mergeCell ref="C13:L13"/>
    <mergeCell ref="H49:K49"/>
    <mergeCell ref="D48:F48"/>
    <mergeCell ref="H48:K48"/>
    <mergeCell ref="C31:F31"/>
    <mergeCell ref="C30:F30"/>
    <mergeCell ref="D102:J102"/>
    <mergeCell ref="D53:F53"/>
    <mergeCell ref="H53:K53"/>
    <mergeCell ref="H55:K55"/>
    <mergeCell ref="D56:F56"/>
    <mergeCell ref="H56:K56"/>
    <mergeCell ref="H60:K60"/>
    <mergeCell ref="D59:F59"/>
    <mergeCell ref="H59:K59"/>
    <mergeCell ref="D60:F60"/>
    <mergeCell ref="D55:F55"/>
    <mergeCell ref="D1:E1"/>
    <mergeCell ref="E3:J3"/>
    <mergeCell ref="C20:L20"/>
    <mergeCell ref="C29:H29"/>
    <mergeCell ref="C17:L17"/>
    <mergeCell ref="C4:L4"/>
    <mergeCell ref="C6:L6"/>
    <mergeCell ref="C7:J7"/>
    <mergeCell ref="C5:L5"/>
    <mergeCell ref="C8:L8"/>
    <mergeCell ref="C9:L9"/>
    <mergeCell ref="C10:D10"/>
    <mergeCell ref="C12:D12"/>
    <mergeCell ref="C16:J16"/>
    <mergeCell ref="C15:L15"/>
    <mergeCell ref="J11:L11"/>
  </mergeCells>
  <pageMargins left="0.7" right="0.7" top="0.75" bottom="0.75" header="0.3" footer="0.3"/>
  <pageSetup paperSize="5" scale="72" orientation="portrait"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tabColor theme="9" tint="-0.249977111117893"/>
    <pageSetUpPr fitToPage="1"/>
  </sheetPr>
  <dimension ref="B1:M47"/>
  <sheetViews>
    <sheetView showGridLines="0" topLeftCell="A43" zoomScaleNormal="100" workbookViewId="0">
      <selection activeCell="D2" sqref="D2:H2"/>
    </sheetView>
  </sheetViews>
  <sheetFormatPr defaultRowHeight="12.5"/>
  <cols>
    <col min="3" max="3" width="17.453125" customWidth="1"/>
    <col min="4" max="4" width="4.54296875" customWidth="1"/>
    <col min="5" max="5" width="19.453125" customWidth="1"/>
    <col min="6" max="6" width="6" customWidth="1"/>
    <col min="7" max="7" width="5.81640625" customWidth="1"/>
    <col min="8" max="8" width="13.453125" customWidth="1"/>
    <col min="13" max="13" width="11.81640625" customWidth="1"/>
  </cols>
  <sheetData>
    <row r="1" spans="2:11">
      <c r="C1" s="977">
        <f ca="1">NOW()</f>
        <v>45380.323058564813</v>
      </c>
      <c r="D1" s="977"/>
    </row>
    <row r="2" spans="2:11" ht="15.5">
      <c r="B2" s="574"/>
      <c r="C2" s="273" t="s">
        <v>26</v>
      </c>
      <c r="D2" s="779">
        <f>+'Provider Information'!F6</f>
        <v>0</v>
      </c>
      <c r="E2" s="780"/>
      <c r="F2" s="780"/>
      <c r="G2" s="780"/>
      <c r="H2" s="780"/>
      <c r="I2" s="9"/>
    </row>
    <row r="3" spans="2:11" ht="15.5">
      <c r="B3" s="571"/>
      <c r="C3" s="572" t="s">
        <v>388</v>
      </c>
      <c r="D3" s="779">
        <f>+'Provider Information'!D21</f>
        <v>0</v>
      </c>
      <c r="E3" s="779"/>
      <c r="F3" s="779"/>
      <c r="G3" s="779"/>
      <c r="H3" s="779"/>
      <c r="I3" s="779"/>
    </row>
    <row r="4" spans="2:11" ht="17.5">
      <c r="B4" s="1028" t="str">
        <f>+'Provider Total Budget by Serv'!J4</f>
        <v>Participant Assessment</v>
      </c>
      <c r="C4" s="1029"/>
      <c r="D4" s="1029"/>
      <c r="E4" s="1029"/>
      <c r="F4" s="1029"/>
      <c r="G4" s="1029"/>
      <c r="H4" s="1029"/>
      <c r="I4" s="1029"/>
      <c r="J4" s="1029"/>
      <c r="K4" s="1029"/>
    </row>
    <row r="5" spans="2:11" ht="18.75" customHeight="1">
      <c r="B5" s="1030" t="s">
        <v>79</v>
      </c>
      <c r="C5" s="1030"/>
      <c r="D5" s="1030"/>
      <c r="E5" s="1030"/>
      <c r="F5" s="1030"/>
      <c r="G5" s="1030"/>
      <c r="H5" s="1030"/>
      <c r="I5" s="1030"/>
      <c r="J5" s="1030"/>
      <c r="K5" s="1030"/>
    </row>
    <row r="6" spans="2:11" ht="17.5">
      <c r="B6" s="863"/>
      <c r="C6" s="863"/>
      <c r="D6" s="863"/>
      <c r="E6" s="863"/>
      <c r="F6" s="124"/>
      <c r="G6" s="864"/>
      <c r="H6" s="865"/>
      <c r="I6" s="865"/>
      <c r="J6" s="865"/>
      <c r="K6" s="865"/>
    </row>
    <row r="7" spans="2:11" ht="15">
      <c r="B7" s="45" t="s">
        <v>80</v>
      </c>
      <c r="C7" s="46"/>
      <c r="D7" s="46"/>
      <c r="E7" s="46"/>
      <c r="F7" s="46"/>
      <c r="G7" s="46"/>
      <c r="H7" s="46"/>
      <c r="I7" s="47"/>
      <c r="J7" s="46"/>
      <c r="K7" s="48"/>
    </row>
    <row r="8" spans="2:11" ht="15">
      <c r="B8" s="49"/>
      <c r="K8" s="50"/>
    </row>
    <row r="9" spans="2:11" ht="16.5">
      <c r="B9" s="51" t="s">
        <v>81</v>
      </c>
      <c r="C9" s="52" t="s">
        <v>82</v>
      </c>
      <c r="K9" s="50"/>
    </row>
    <row r="10" spans="2:11" ht="16.5">
      <c r="B10" s="51"/>
      <c r="C10" s="52"/>
      <c r="K10" s="50"/>
    </row>
    <row r="11" spans="2:11" ht="16.5">
      <c r="B11" s="51" t="s">
        <v>81</v>
      </c>
      <c r="C11" s="52" t="s">
        <v>83</v>
      </c>
      <c r="K11" s="50"/>
    </row>
    <row r="12" spans="2:11" ht="16.5">
      <c r="B12" s="51"/>
      <c r="C12" s="52"/>
      <c r="K12" s="50"/>
    </row>
    <row r="13" spans="2:11" ht="16.5">
      <c r="B13" s="51" t="s">
        <v>81</v>
      </c>
      <c r="C13" s="52" t="s">
        <v>84</v>
      </c>
      <c r="K13" s="50"/>
    </row>
    <row r="14" spans="2:11" ht="16.5">
      <c r="B14" s="51" t="s">
        <v>5</v>
      </c>
      <c r="C14" s="52" t="s">
        <v>85</v>
      </c>
      <c r="D14" s="40"/>
      <c r="K14" s="50"/>
    </row>
    <row r="15" spans="2:11" ht="16.5">
      <c r="B15" s="51" t="s">
        <v>5</v>
      </c>
      <c r="C15" s="52" t="s">
        <v>86</v>
      </c>
      <c r="D15" s="40"/>
      <c r="K15" s="50"/>
    </row>
    <row r="16" spans="2:11" ht="16.5">
      <c r="B16" s="51"/>
      <c r="C16" s="52"/>
      <c r="K16" s="50"/>
    </row>
    <row r="17" spans="2:13" ht="16.5">
      <c r="B17" s="51" t="s">
        <v>81</v>
      </c>
      <c r="C17" s="52" t="s">
        <v>87</v>
      </c>
      <c r="K17" s="50"/>
    </row>
    <row r="18" spans="2:13" ht="16.5">
      <c r="B18" s="53" t="s">
        <v>5</v>
      </c>
      <c r="C18" s="52" t="s">
        <v>88</v>
      </c>
      <c r="D18" s="40"/>
      <c r="K18" s="50"/>
    </row>
    <row r="19" spans="2:13" ht="16.5">
      <c r="B19" s="53"/>
      <c r="C19" s="52"/>
      <c r="D19" s="40"/>
      <c r="K19" s="50"/>
    </row>
    <row r="20" spans="2:13" ht="16.5">
      <c r="B20" s="51" t="s">
        <v>81</v>
      </c>
      <c r="C20" s="52" t="s">
        <v>118</v>
      </c>
      <c r="D20" s="40"/>
      <c r="K20" s="50"/>
    </row>
    <row r="21" spans="2:13" ht="16.5">
      <c r="B21" s="53" t="s">
        <v>5</v>
      </c>
      <c r="C21" s="52" t="s">
        <v>119</v>
      </c>
      <c r="D21" s="40"/>
      <c r="K21" s="50"/>
    </row>
    <row r="22" spans="2:13" ht="16.5">
      <c r="B22" s="59"/>
      <c r="C22" s="52" t="s">
        <v>120</v>
      </c>
      <c r="K22" s="50"/>
    </row>
    <row r="23" spans="2:13">
      <c r="B23" s="65"/>
      <c r="C23" s="5"/>
      <c r="D23" s="5"/>
      <c r="E23" s="5"/>
      <c r="F23" s="5"/>
      <c r="G23" s="5"/>
      <c r="H23" s="5"/>
      <c r="I23" s="5"/>
      <c r="J23" s="5"/>
      <c r="K23" s="54"/>
    </row>
    <row r="24" spans="2:13" ht="15">
      <c r="B24" s="43"/>
    </row>
    <row r="25" spans="2:13" ht="15">
      <c r="B25" s="55" t="s">
        <v>89</v>
      </c>
      <c r="C25" s="56" t="s">
        <v>90</v>
      </c>
      <c r="D25" s="56"/>
      <c r="E25" s="46"/>
      <c r="F25" s="46"/>
      <c r="G25" s="46"/>
      <c r="H25" s="46"/>
      <c r="I25" s="46"/>
      <c r="J25" s="46"/>
      <c r="K25" s="48"/>
      <c r="M25" s="63"/>
    </row>
    <row r="26" spans="2:13" ht="15">
      <c r="B26" s="57"/>
      <c r="C26" s="58" t="s">
        <v>91</v>
      </c>
      <c r="D26" s="58"/>
      <c r="K26" s="50"/>
      <c r="M26" s="39"/>
    </row>
    <row r="27" spans="2:13" ht="15">
      <c r="B27" s="59"/>
      <c r="C27" s="58" t="s">
        <v>92</v>
      </c>
      <c r="D27" s="58"/>
      <c r="K27" s="50"/>
    </row>
    <row r="28" spans="2:13" ht="15">
      <c r="B28" s="57"/>
      <c r="C28" s="58" t="s">
        <v>93</v>
      </c>
      <c r="D28" s="58"/>
      <c r="K28" s="50"/>
    </row>
    <row r="29" spans="2:13" ht="15">
      <c r="B29" s="57"/>
      <c r="C29" s="40" t="s">
        <v>94</v>
      </c>
      <c r="D29" s="40"/>
      <c r="K29" s="50"/>
    </row>
    <row r="30" spans="2:13" ht="15">
      <c r="B30" s="60"/>
      <c r="C30" s="40" t="s">
        <v>95</v>
      </c>
      <c r="D30" s="40"/>
      <c r="K30" s="50"/>
    </row>
    <row r="31" spans="2:13" ht="15">
      <c r="B31" s="57"/>
      <c r="C31" s="40" t="s">
        <v>96</v>
      </c>
      <c r="D31" s="40"/>
      <c r="K31" s="50"/>
    </row>
    <row r="32" spans="2:13" ht="15">
      <c r="B32" s="61"/>
      <c r="C32" s="62" t="s">
        <v>97</v>
      </c>
      <c r="D32" s="62"/>
      <c r="E32" s="5"/>
      <c r="F32" s="5"/>
      <c r="G32" s="5"/>
      <c r="H32" s="5"/>
      <c r="I32" s="5"/>
      <c r="J32" s="5"/>
      <c r="K32" s="54"/>
    </row>
    <row r="33" spans="2:10" ht="15">
      <c r="B33" s="43"/>
      <c r="C33" s="40"/>
      <c r="D33" s="40"/>
    </row>
    <row r="34" spans="2:10" ht="15">
      <c r="B34" s="43"/>
      <c r="C34" s="40"/>
      <c r="D34" s="40"/>
    </row>
    <row r="35" spans="2:10" ht="45.75" customHeight="1">
      <c r="C35" s="855">
        <f>+'Participant Assessment Budget'!C2</f>
        <v>0</v>
      </c>
      <c r="D35" s="855"/>
      <c r="E35" s="855"/>
      <c r="F35" s="40"/>
      <c r="G35" s="856">
        <f>'Provider Information'!$F$13</f>
        <v>0</v>
      </c>
      <c r="H35" s="856"/>
      <c r="I35" s="856"/>
      <c r="J35" s="856"/>
    </row>
    <row r="36" spans="2:10">
      <c r="C36" s="867" t="s">
        <v>98</v>
      </c>
      <c r="D36" s="867"/>
      <c r="E36" s="867"/>
      <c r="F36" s="41"/>
      <c r="G36" s="854" t="s">
        <v>34</v>
      </c>
      <c r="H36" s="854"/>
      <c r="I36" s="854"/>
      <c r="J36" s="854"/>
    </row>
    <row r="37" spans="2:10">
      <c r="B37" s="41"/>
    </row>
    <row r="38" spans="2:10">
      <c r="B38" s="41"/>
    </row>
    <row r="39" spans="2:10" ht="15">
      <c r="C39" s="972"/>
      <c r="D39" s="972"/>
      <c r="E39" s="972"/>
      <c r="F39" s="40"/>
      <c r="G39" s="856"/>
      <c r="H39" s="856"/>
      <c r="I39" s="856"/>
      <c r="J39" s="856"/>
    </row>
    <row r="40" spans="2:10">
      <c r="C40" s="854" t="s">
        <v>36</v>
      </c>
      <c r="D40" s="854"/>
      <c r="E40" s="854"/>
      <c r="F40" s="42"/>
      <c r="G40" s="854" t="s">
        <v>35</v>
      </c>
      <c r="H40" s="854"/>
      <c r="I40" s="854"/>
      <c r="J40" s="854"/>
    </row>
    <row r="41" spans="2:10">
      <c r="B41" s="41"/>
    </row>
    <row r="42" spans="2:10">
      <c r="B42" s="41"/>
    </row>
    <row r="43" spans="2:10">
      <c r="B43" s="41"/>
    </row>
    <row r="44" spans="2:10" ht="15">
      <c r="C44" s="41" t="s">
        <v>99</v>
      </c>
      <c r="D44" s="43"/>
      <c r="E44" s="44" t="s">
        <v>100</v>
      </c>
      <c r="F44" s="43"/>
      <c r="G44" s="44" t="s">
        <v>101</v>
      </c>
      <c r="H44" s="44"/>
      <c r="I44" s="44"/>
    </row>
    <row r="45" spans="2:10" ht="15">
      <c r="C45" s="41" t="s">
        <v>102</v>
      </c>
      <c r="D45" s="43"/>
      <c r="E45" s="41" t="s">
        <v>103</v>
      </c>
      <c r="F45" s="43"/>
      <c r="G45" s="44" t="s">
        <v>104</v>
      </c>
      <c r="H45" s="44"/>
      <c r="I45" s="44"/>
    </row>
    <row r="46" spans="2:10" ht="15">
      <c r="D46" s="43"/>
      <c r="E46" s="44" t="s">
        <v>105</v>
      </c>
      <c r="F46" s="43"/>
      <c r="G46" s="44" t="s">
        <v>106</v>
      </c>
      <c r="H46" s="44"/>
      <c r="I46" s="44"/>
    </row>
    <row r="47" spans="2:10">
      <c r="B47" s="41"/>
    </row>
  </sheetData>
  <customSheetViews>
    <customSheetView guid="{DDFE7685-90A4-42DC-AFD9-89B5EC30420E}" showPageBreaks="1" showGridLines="0" fitToPage="1" printArea="1">
      <selection activeCell="F75" sqref="F75"/>
      <pageMargins left="0.7" right="0.7" top="0.75" bottom="0.75" header="0.3" footer="0.3"/>
      <pageSetup paperSize="5" scale="89" orientation="portrait" r:id="rId1"/>
    </customSheetView>
  </customSheetViews>
  <mergeCells count="15">
    <mergeCell ref="C1:D1"/>
    <mergeCell ref="D2:H2"/>
    <mergeCell ref="C40:E40"/>
    <mergeCell ref="G40:J40"/>
    <mergeCell ref="C39:E39"/>
    <mergeCell ref="C35:E35"/>
    <mergeCell ref="G35:J35"/>
    <mergeCell ref="B4:K4"/>
    <mergeCell ref="G39:J39"/>
    <mergeCell ref="B6:E6"/>
    <mergeCell ref="G6:K6"/>
    <mergeCell ref="B5:K5"/>
    <mergeCell ref="C36:E36"/>
    <mergeCell ref="G36:J36"/>
    <mergeCell ref="D3:I3"/>
  </mergeCells>
  <pageMargins left="0.7" right="0.7" top="0.75" bottom="0.75" header="0.3" footer="0.3"/>
  <pageSetup paperSize="5" scale="8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6385" r:id="rId5" name="Check Box 1">
              <controlPr defaultSize="0" autoFill="0" autoLine="0" autoPict="0">
                <anchor moveWithCells="1">
                  <from>
                    <xdr:col>3</xdr:col>
                    <xdr:colOff>12700</xdr:colOff>
                    <xdr:row>45</xdr:row>
                    <xdr:rowOff>12700</xdr:rowOff>
                  </from>
                  <to>
                    <xdr:col>4</xdr:col>
                    <xdr:colOff>12700</xdr:colOff>
                    <xdr:row>46</xdr:row>
                    <xdr:rowOff>31750</xdr:rowOff>
                  </to>
                </anchor>
              </controlPr>
            </control>
          </mc:Choice>
        </mc:AlternateContent>
        <mc:AlternateContent xmlns:mc="http://schemas.openxmlformats.org/markup-compatibility/2006">
          <mc:Choice Requires="x14">
            <control shapeId="16386" r:id="rId6" name="Check Box 2">
              <controlPr defaultSize="0" autoFill="0" autoLine="0" autoPict="0">
                <anchor moveWithCells="1">
                  <from>
                    <xdr:col>3</xdr:col>
                    <xdr:colOff>12700</xdr:colOff>
                    <xdr:row>43</xdr:row>
                    <xdr:rowOff>31750</xdr:rowOff>
                  </from>
                  <to>
                    <xdr:col>4</xdr:col>
                    <xdr:colOff>12700</xdr:colOff>
                    <xdr:row>44</xdr:row>
                    <xdr:rowOff>50800</xdr:rowOff>
                  </to>
                </anchor>
              </controlPr>
            </control>
          </mc:Choice>
        </mc:AlternateContent>
        <mc:AlternateContent xmlns:mc="http://schemas.openxmlformats.org/markup-compatibility/2006">
          <mc:Choice Requires="x14">
            <control shapeId="16387" r:id="rId7" name="Check Box 3">
              <controlPr defaultSize="0" autoFill="0" autoLine="0" autoPict="0">
                <anchor moveWithCells="1">
                  <from>
                    <xdr:col>3</xdr:col>
                    <xdr:colOff>31750</xdr:colOff>
                    <xdr:row>44</xdr:row>
                    <xdr:rowOff>0</xdr:rowOff>
                  </from>
                  <to>
                    <xdr:col>4</xdr:col>
                    <xdr:colOff>31750</xdr:colOff>
                    <xdr:row>45</xdr:row>
                    <xdr:rowOff>50800</xdr:rowOff>
                  </to>
                </anchor>
              </controlPr>
            </control>
          </mc:Choice>
        </mc:AlternateContent>
        <mc:AlternateContent xmlns:mc="http://schemas.openxmlformats.org/markup-compatibility/2006">
          <mc:Choice Requires="x14">
            <control shapeId="16388" r:id="rId8" name="Check Box 4">
              <controlPr defaultSize="0" autoFill="0" autoLine="0" autoPict="0">
                <anchor moveWithCells="1">
                  <from>
                    <xdr:col>5</xdr:col>
                    <xdr:colOff>95250</xdr:colOff>
                    <xdr:row>43</xdr:row>
                    <xdr:rowOff>12700</xdr:rowOff>
                  </from>
                  <to>
                    <xdr:col>6</xdr:col>
                    <xdr:colOff>0</xdr:colOff>
                    <xdr:row>44</xdr:row>
                    <xdr:rowOff>31750</xdr:rowOff>
                  </to>
                </anchor>
              </controlPr>
            </control>
          </mc:Choice>
        </mc:AlternateContent>
        <mc:AlternateContent xmlns:mc="http://schemas.openxmlformats.org/markup-compatibility/2006">
          <mc:Choice Requires="x14">
            <control shapeId="16389" r:id="rId9" name="Check Box 5">
              <controlPr defaultSize="0" autoFill="0" autoLine="0" autoPict="0">
                <anchor moveWithCells="1">
                  <from>
                    <xdr:col>5</xdr:col>
                    <xdr:colOff>76200</xdr:colOff>
                    <xdr:row>44</xdr:row>
                    <xdr:rowOff>31750</xdr:rowOff>
                  </from>
                  <to>
                    <xdr:col>5</xdr:col>
                    <xdr:colOff>381000</xdr:colOff>
                    <xdr:row>45</xdr:row>
                    <xdr:rowOff>50800</xdr:rowOff>
                  </to>
                </anchor>
              </controlPr>
            </control>
          </mc:Choice>
        </mc:AlternateContent>
        <mc:AlternateContent xmlns:mc="http://schemas.openxmlformats.org/markup-compatibility/2006">
          <mc:Choice Requires="x14">
            <control shapeId="16390" r:id="rId10" name="Check Box 6">
              <controlPr defaultSize="0" autoFill="0" autoLine="0" autoPict="0">
                <anchor moveWithCells="1">
                  <from>
                    <xdr:col>5</xdr:col>
                    <xdr:colOff>76200</xdr:colOff>
                    <xdr:row>45</xdr:row>
                    <xdr:rowOff>31750</xdr:rowOff>
                  </from>
                  <to>
                    <xdr:col>5</xdr:col>
                    <xdr:colOff>381000</xdr:colOff>
                    <xdr:row>46</xdr:row>
                    <xdr:rowOff>50800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theme="9" tint="-0.249977111117893"/>
    <pageSetUpPr fitToPage="1"/>
  </sheetPr>
  <dimension ref="B1:N50"/>
  <sheetViews>
    <sheetView showGridLines="0" topLeftCell="A21" zoomScaleNormal="100" workbookViewId="0">
      <selection activeCell="G33" sqref="G33"/>
    </sheetView>
  </sheetViews>
  <sheetFormatPr defaultColWidth="9.1796875" defaultRowHeight="14"/>
  <cols>
    <col min="1" max="1" width="6.1796875" style="15" customWidth="1"/>
    <col min="2" max="2" width="11.453125" style="15" customWidth="1"/>
    <col min="3" max="3" width="11" style="15" customWidth="1"/>
    <col min="4" max="4" width="14.1796875" style="15" customWidth="1"/>
    <col min="5" max="5" width="23.7265625" style="15" customWidth="1"/>
    <col min="6" max="6" width="21.26953125" style="15" customWidth="1"/>
    <col min="7" max="7" width="23.453125" style="15" customWidth="1"/>
    <col min="8" max="8" width="3.1796875" style="15" customWidth="1"/>
    <col min="9" max="16384" width="9.1796875" style="15"/>
  </cols>
  <sheetData>
    <row r="1" spans="2:8">
      <c r="C1" s="977">
        <f ca="1">NOW()</f>
        <v>45380.323058564813</v>
      </c>
      <c r="D1" s="977"/>
    </row>
    <row r="2" spans="2:8">
      <c r="C2" s="572" t="s">
        <v>388</v>
      </c>
      <c r="D2" s="779">
        <f>+'Provider Information'!D21</f>
        <v>0</v>
      </c>
      <c r="E2" s="779"/>
      <c r="F2" s="779"/>
      <c r="G2" s="779"/>
    </row>
    <row r="3" spans="2:8" ht="17.5">
      <c r="B3" s="1031" t="str">
        <f>+'Provider Total Budget by Serv'!J4</f>
        <v>Participant Assessment</v>
      </c>
      <c r="C3" s="1030"/>
      <c r="D3" s="1030"/>
      <c r="E3" s="1030"/>
      <c r="F3" s="1030"/>
      <c r="G3" s="1030"/>
    </row>
    <row r="4" spans="2:8">
      <c r="B4" s="1032" t="s">
        <v>40</v>
      </c>
      <c r="C4" s="1032"/>
      <c r="D4" s="1032"/>
      <c r="E4" s="1032"/>
      <c r="F4" s="1032"/>
      <c r="G4" s="1032"/>
      <c r="H4" s="203"/>
    </row>
    <row r="5" spans="2:8">
      <c r="B5" s="15" t="s">
        <v>41</v>
      </c>
      <c r="C5" s="1033" t="str">
        <f>IF(ISBLANK('Provider Information'!F6),"",+'Provider Information'!F6)</f>
        <v/>
      </c>
      <c r="D5" s="1034"/>
      <c r="E5" s="1034"/>
    </row>
    <row r="7" spans="2:8">
      <c r="B7" s="909" t="s">
        <v>42</v>
      </c>
      <c r="C7" s="909"/>
      <c r="D7" s="892">
        <f>+G25</f>
        <v>0</v>
      </c>
      <c r="E7" s="893"/>
      <c r="F7" s="31"/>
      <c r="G7" s="176"/>
    </row>
    <row r="9" spans="2:8">
      <c r="B9" s="899" t="s">
        <v>445</v>
      </c>
      <c r="C9" s="899"/>
      <c r="D9" s="899"/>
      <c r="E9" s="899"/>
      <c r="F9" s="899"/>
      <c r="G9" s="899"/>
    </row>
    <row r="10" spans="2:8" ht="14.5" thickBot="1"/>
    <row r="11" spans="2:8" ht="14.5" thickTop="1">
      <c r="B11" s="17"/>
      <c r="C11" s="18"/>
      <c r="D11" s="18"/>
      <c r="E11" s="19"/>
      <c r="F11" s="20"/>
      <c r="G11" s="21"/>
    </row>
    <row r="12" spans="2:8">
      <c r="B12" s="900" t="s">
        <v>43</v>
      </c>
      <c r="C12" s="901"/>
      <c r="D12" s="901"/>
      <c r="E12" s="902"/>
      <c r="F12" s="22" t="s">
        <v>44</v>
      </c>
      <c r="G12" s="23" t="s">
        <v>75</v>
      </c>
    </row>
    <row r="13" spans="2:8">
      <c r="B13" s="903"/>
      <c r="C13" s="904"/>
      <c r="D13" s="904"/>
      <c r="E13" s="905"/>
      <c r="F13" s="37"/>
      <c r="G13" s="35"/>
    </row>
    <row r="14" spans="2:8">
      <c r="B14" s="894"/>
      <c r="C14" s="897"/>
      <c r="D14" s="897"/>
      <c r="E14" s="898"/>
      <c r="F14" s="34"/>
      <c r="G14" s="35"/>
    </row>
    <row r="15" spans="2:8">
      <c r="B15" s="894"/>
      <c r="C15" s="897"/>
      <c r="D15" s="897"/>
      <c r="E15" s="898"/>
      <c r="F15" s="34"/>
      <c r="G15" s="35"/>
    </row>
    <row r="16" spans="2:8">
      <c r="B16" s="894"/>
      <c r="C16" s="897"/>
      <c r="D16" s="897"/>
      <c r="E16" s="898"/>
      <c r="F16" s="34"/>
      <c r="G16" s="35"/>
    </row>
    <row r="17" spans="2:10">
      <c r="B17" s="894"/>
      <c r="C17" s="897"/>
      <c r="D17" s="897"/>
      <c r="E17" s="898"/>
      <c r="F17" s="34"/>
      <c r="G17" s="35"/>
    </row>
    <row r="18" spans="2:10">
      <c r="B18" s="894"/>
      <c r="C18" s="897"/>
      <c r="D18" s="897"/>
      <c r="E18" s="898"/>
      <c r="F18" s="34"/>
      <c r="G18" s="35"/>
    </row>
    <row r="19" spans="2:10">
      <c r="B19" s="894"/>
      <c r="C19" s="897"/>
      <c r="D19" s="897"/>
      <c r="E19" s="898"/>
      <c r="F19" s="34"/>
      <c r="G19" s="35"/>
    </row>
    <row r="20" spans="2:10">
      <c r="B20" s="894"/>
      <c r="C20" s="897"/>
      <c r="D20" s="897"/>
      <c r="E20" s="898"/>
      <c r="F20" s="34"/>
      <c r="G20" s="35"/>
      <c r="J20" s="24"/>
    </row>
    <row r="21" spans="2:10">
      <c r="B21" s="894"/>
      <c r="C21" s="895"/>
      <c r="D21" s="895"/>
      <c r="E21" s="896"/>
      <c r="F21" s="34"/>
      <c r="G21" s="35"/>
    </row>
    <row r="22" spans="2:10">
      <c r="B22" s="894"/>
      <c r="C22" s="897"/>
      <c r="D22" s="897"/>
      <c r="E22" s="898"/>
      <c r="F22" s="34"/>
      <c r="G22" s="35"/>
    </row>
    <row r="23" spans="2:10">
      <c r="B23" s="894"/>
      <c r="C23" s="897"/>
      <c r="D23" s="897"/>
      <c r="E23" s="898"/>
      <c r="F23" s="34"/>
      <c r="G23" s="35"/>
    </row>
    <row r="24" spans="2:10">
      <c r="B24" s="894"/>
      <c r="C24" s="897"/>
      <c r="D24" s="897"/>
      <c r="E24" s="898"/>
      <c r="F24" s="34"/>
      <c r="G24" s="35"/>
    </row>
    <row r="25" spans="2:10" ht="14.5" thickBot="1">
      <c r="B25" s="912"/>
      <c r="C25" s="913"/>
      <c r="D25" s="913"/>
      <c r="E25" s="914"/>
      <c r="F25" s="25" t="s">
        <v>45</v>
      </c>
      <c r="G25" s="26">
        <f>SUM(G13:G24)</f>
        <v>0</v>
      </c>
    </row>
    <row r="26" spans="2:10" ht="14.5" thickTop="1"/>
    <row r="27" spans="2:10" ht="33" customHeight="1">
      <c r="B27" s="27" t="s">
        <v>46</v>
      </c>
      <c r="C27" s="910" t="s">
        <v>47</v>
      </c>
      <c r="D27" s="915"/>
      <c r="E27" s="915"/>
      <c r="F27" s="915"/>
      <c r="G27" s="24"/>
    </row>
    <row r="29" spans="2:10">
      <c r="B29" s="15" t="s">
        <v>48</v>
      </c>
    </row>
    <row r="31" spans="2:10">
      <c r="B31" s="15" t="s">
        <v>49</v>
      </c>
      <c r="C31" s="29" t="s">
        <v>0</v>
      </c>
      <c r="D31" s="15" t="s">
        <v>50</v>
      </c>
    </row>
    <row r="32" spans="2:10" ht="30.75" customHeight="1">
      <c r="C32" s="30" t="s">
        <v>2</v>
      </c>
      <c r="D32" s="910" t="s">
        <v>76</v>
      </c>
      <c r="E32" s="910"/>
      <c r="F32" s="910"/>
      <c r="G32" s="910"/>
      <c r="H32" s="28"/>
    </row>
    <row r="34" spans="2:14">
      <c r="B34" s="15" t="s">
        <v>51</v>
      </c>
      <c r="C34" s="29" t="s">
        <v>0</v>
      </c>
      <c r="D34" s="15" t="s">
        <v>52</v>
      </c>
      <c r="J34" s="910"/>
      <c r="K34" s="910"/>
      <c r="L34" s="910"/>
      <c r="M34" s="910"/>
      <c r="N34" s="910"/>
    </row>
    <row r="35" spans="2:14" ht="63.75" customHeight="1">
      <c r="C35" s="30" t="s">
        <v>2</v>
      </c>
      <c r="D35" s="980" t="s">
        <v>463</v>
      </c>
      <c r="E35" s="980"/>
      <c r="F35" s="980"/>
      <c r="G35" s="980"/>
    </row>
    <row r="36" spans="2:14">
      <c r="C36" s="31"/>
    </row>
    <row r="37" spans="2:14">
      <c r="C37" s="31"/>
      <c r="F37" s="16"/>
    </row>
    <row r="38" spans="2:14">
      <c r="B38" s="32" t="s">
        <v>77</v>
      </c>
    </row>
    <row r="39" spans="2:14">
      <c r="B39" s="32" t="s">
        <v>53</v>
      </c>
    </row>
    <row r="41" spans="2:14">
      <c r="B41" s="15" t="s">
        <v>54</v>
      </c>
      <c r="C41" s="29" t="s">
        <v>0</v>
      </c>
      <c r="D41" s="15" t="s">
        <v>55</v>
      </c>
    </row>
    <row r="42" spans="2:14">
      <c r="C42" s="29" t="s">
        <v>2</v>
      </c>
      <c r="D42" s="15" t="s">
        <v>56</v>
      </c>
    </row>
    <row r="44" spans="2:14" ht="44.25" customHeight="1">
      <c r="B44" s="917">
        <f>+'Participant Assessment Budget'!C2</f>
        <v>0</v>
      </c>
      <c r="C44" s="917"/>
      <c r="D44" s="917"/>
      <c r="F44" s="916">
        <f>'Provider Information'!$F$13</f>
        <v>0</v>
      </c>
      <c r="G44" s="916"/>
    </row>
    <row r="45" spans="2:14">
      <c r="B45" s="919" t="s">
        <v>57</v>
      </c>
      <c r="C45" s="919"/>
      <c r="D45" s="919"/>
      <c r="E45" s="16"/>
      <c r="F45" s="918" t="s">
        <v>34</v>
      </c>
      <c r="G45" s="918"/>
      <c r="I45" s="14"/>
    </row>
    <row r="47" spans="2:14">
      <c r="B47" s="920"/>
      <c r="C47" s="920"/>
      <c r="D47" s="920"/>
      <c r="F47" s="979"/>
      <c r="G47" s="979"/>
    </row>
    <row r="48" spans="2:14">
      <c r="B48" s="918" t="s">
        <v>36</v>
      </c>
      <c r="C48" s="919"/>
      <c r="D48" s="919"/>
      <c r="E48" s="16"/>
      <c r="F48" s="918" t="s">
        <v>35</v>
      </c>
      <c r="G48" s="918"/>
      <c r="I48" s="14"/>
    </row>
    <row r="49" spans="2:9">
      <c r="B49" s="16"/>
      <c r="C49" s="16"/>
      <c r="D49" s="16"/>
      <c r="E49" s="16"/>
      <c r="G49" s="14"/>
      <c r="H49" s="14"/>
      <c r="I49" s="14"/>
    </row>
    <row r="50" spans="2:9">
      <c r="B50" s="899"/>
      <c r="C50" s="899"/>
      <c r="D50" s="899"/>
      <c r="E50" s="899"/>
      <c r="F50" s="899"/>
      <c r="G50" s="899"/>
      <c r="H50" s="899"/>
    </row>
  </sheetData>
  <customSheetViews>
    <customSheetView guid="{DDFE7685-90A4-42DC-AFD9-89B5EC30420E}" showPageBreaks="1" showGridLines="0" fitToPage="1" printArea="1">
      <selection activeCell="F75" sqref="F75"/>
      <pageMargins left="0.7" right="0.7" top="0.75" bottom="0.75" header="0.3" footer="0.3"/>
      <pageSetup paperSize="5" scale="10" orientation="portrait" r:id="rId1"/>
    </customSheetView>
  </customSheetViews>
  <mergeCells count="35">
    <mergeCell ref="F47:G47"/>
    <mergeCell ref="B47:D47"/>
    <mergeCell ref="F44:G44"/>
    <mergeCell ref="B44:D44"/>
    <mergeCell ref="B19:E19"/>
    <mergeCell ref="B20:E20"/>
    <mergeCell ref="B50:H50"/>
    <mergeCell ref="B48:D48"/>
    <mergeCell ref="F48:G48"/>
    <mergeCell ref="C5:E5"/>
    <mergeCell ref="B7:C7"/>
    <mergeCell ref="B45:D45"/>
    <mergeCell ref="F45:G45"/>
    <mergeCell ref="C27:F27"/>
    <mergeCell ref="D32:G32"/>
    <mergeCell ref="B18:E18"/>
    <mergeCell ref="B13:E13"/>
    <mergeCell ref="D7:E7"/>
    <mergeCell ref="B21:E21"/>
    <mergeCell ref="B14:E14"/>
    <mergeCell ref="B15:E15"/>
    <mergeCell ref="B16:E16"/>
    <mergeCell ref="C1:D1"/>
    <mergeCell ref="D2:G2"/>
    <mergeCell ref="J34:N34"/>
    <mergeCell ref="D35:G35"/>
    <mergeCell ref="B22:E22"/>
    <mergeCell ref="B23:E23"/>
    <mergeCell ref="B24:E24"/>
    <mergeCell ref="B25:E25"/>
    <mergeCell ref="B3:G3"/>
    <mergeCell ref="B4:G4"/>
    <mergeCell ref="B9:G9"/>
    <mergeCell ref="B12:E12"/>
    <mergeCell ref="B17:E17"/>
  </mergeCells>
  <dataValidations count="2">
    <dataValidation operator="greaterThan" allowBlank="1" showInputMessage="1" showErrorMessage="1" sqref="F13:F24" xr:uid="{00000000-0002-0000-0F00-000000000000}"/>
    <dataValidation type="decimal" allowBlank="1" showInputMessage="1" showErrorMessage="1" sqref="G13:G24" xr:uid="{00000000-0002-0000-0F00-000001000000}">
      <formula1>0</formula1>
      <formula2>15000000</formula2>
    </dataValidation>
  </dataValidations>
  <hyperlinks>
    <hyperlink ref="C27" r:id="rId2" display="http://www.irs.gov/pub/irs-pdf/p561.pdf" xr:uid="{00000000-0004-0000-0F00-000000000000}"/>
    <hyperlink ref="D35:G35" r:id="rId3" display="Documented prevailing wage in the Area. For prevailing wage information visit the Texas Workforce Commission’s website at  https://www.twc.texas.gov/news/efte/prevailing_wage_issues.html" xr:uid="{F792D58A-F4ED-4F70-9456-0718208154AC}"/>
  </hyperlinks>
  <pageMargins left="0.7" right="0.7" top="0.75" bottom="0.75" header="0.3" footer="0.3"/>
  <pageSetup paperSize="5" scale="86" orientation="portrait"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rgb="FF0070C0"/>
    <pageSetUpPr fitToPage="1"/>
  </sheetPr>
  <dimension ref="A1:R106"/>
  <sheetViews>
    <sheetView topLeftCell="A3" zoomScaleNormal="100" workbookViewId="0">
      <selection activeCell="P12" sqref="P12"/>
    </sheetView>
  </sheetViews>
  <sheetFormatPr defaultColWidth="9.1796875" defaultRowHeight="12.5"/>
  <cols>
    <col min="1" max="1" width="3.54296875" style="273" customWidth="1"/>
    <col min="2" max="2" width="34.81640625" style="273" customWidth="1"/>
    <col min="3" max="3" width="11.7265625" style="410" customWidth="1"/>
    <col min="4" max="4" width="10.1796875" style="410" customWidth="1"/>
    <col min="5" max="5" width="13.1796875" style="410" customWidth="1"/>
    <col min="6" max="6" width="11.7265625" style="411" customWidth="1"/>
    <col min="7" max="7" width="13.26953125" style="410" customWidth="1"/>
    <col min="8" max="8" width="3.453125" style="277" customWidth="1"/>
    <col min="9" max="9" width="21.453125" style="410" bestFit="1" customWidth="1"/>
    <col min="10" max="10" width="21.453125" style="410" customWidth="1"/>
    <col min="11" max="11" width="23.1796875" style="277" customWidth="1"/>
    <col min="12" max="12" width="3.453125" style="277" customWidth="1"/>
    <col min="13" max="13" width="59.26953125" style="277" customWidth="1"/>
    <col min="14" max="14" width="17.81640625" style="277" customWidth="1"/>
    <col min="15" max="15" width="4.54296875" style="248" customWidth="1"/>
    <col min="16" max="18" width="15.7265625" style="248" customWidth="1"/>
    <col min="19" max="16384" width="9.1796875" style="248"/>
  </cols>
  <sheetData>
    <row r="1" spans="1:18" ht="18">
      <c r="A1" s="534"/>
      <c r="B1" s="732" t="str">
        <f>+'Provider Total Budget by Serv'!K4</f>
        <v>Transportation</v>
      </c>
      <c r="C1" s="732"/>
      <c r="D1" s="732"/>
      <c r="E1" s="732"/>
      <c r="F1" s="732"/>
      <c r="G1" s="732"/>
      <c r="H1" s="732"/>
      <c r="I1" s="732"/>
      <c r="J1" s="732"/>
      <c r="K1" s="732"/>
      <c r="L1" s="732"/>
      <c r="M1" s="732"/>
      <c r="N1" s="732"/>
      <c r="O1" s="1045"/>
    </row>
    <row r="2" spans="1:18" ht="12.75" customHeight="1">
      <c r="A2" s="528"/>
      <c r="B2" s="573" t="s">
        <v>26</v>
      </c>
      <c r="C2" s="814">
        <f>'Provider Information'!$F$6</f>
        <v>0</v>
      </c>
      <c r="D2" s="814"/>
      <c r="E2" s="814"/>
      <c r="F2" s="814"/>
      <c r="G2" s="815"/>
      <c r="H2" s="1014"/>
      <c r="I2" s="933" t="s">
        <v>255</v>
      </c>
      <c r="J2" s="933"/>
      <c r="K2" s="933"/>
      <c r="L2" s="933"/>
      <c r="M2" s="933"/>
      <c r="N2" s="933"/>
      <c r="O2" s="1046"/>
    </row>
    <row r="3" spans="1:18" ht="12.75" customHeight="1">
      <c r="A3" s="528"/>
      <c r="B3" s="572" t="s">
        <v>388</v>
      </c>
      <c r="C3" s="780">
        <f>+'Provider Information'!D21</f>
        <v>0</v>
      </c>
      <c r="D3" s="780"/>
      <c r="E3" s="780"/>
      <c r="F3" s="780"/>
      <c r="G3" s="816"/>
      <c r="H3" s="1015"/>
      <c r="I3" s="936"/>
      <c r="J3" s="936"/>
      <c r="K3" s="936"/>
      <c r="L3" s="936"/>
      <c r="M3" s="936"/>
      <c r="N3" s="936"/>
      <c r="O3" s="1046"/>
    </row>
    <row r="4" spans="1:18" ht="12.75" customHeight="1">
      <c r="A4" s="529"/>
      <c r="B4" s="575"/>
      <c r="C4" s="817"/>
      <c r="D4" s="817"/>
      <c r="E4" s="817"/>
      <c r="F4" s="817"/>
      <c r="G4" s="818"/>
      <c r="H4" s="1015"/>
      <c r="I4" s="939"/>
      <c r="J4" s="939"/>
      <c r="K4" s="939"/>
      <c r="L4" s="939"/>
      <c r="M4" s="939"/>
      <c r="N4" s="939"/>
      <c r="O4" s="1046"/>
    </row>
    <row r="5" spans="1:18" ht="13">
      <c r="A5" s="530"/>
      <c r="B5" s="977"/>
      <c r="C5" s="977"/>
      <c r="D5" s="977">
        <f ca="1">NOW()</f>
        <v>45380.323058564813</v>
      </c>
      <c r="E5" s="977"/>
      <c r="F5" s="977"/>
      <c r="G5" s="977"/>
      <c r="H5" s="319"/>
      <c r="I5" s="831"/>
      <c r="J5" s="831"/>
      <c r="K5" s="831"/>
      <c r="L5" s="320"/>
      <c r="M5" s="504"/>
      <c r="N5" s="536"/>
      <c r="O5" s="1046"/>
    </row>
    <row r="6" spans="1:18" ht="18" customHeight="1">
      <c r="A6" s="531"/>
      <c r="B6" s="848" t="s">
        <v>327</v>
      </c>
      <c r="C6" s="850">
        <v>2023</v>
      </c>
      <c r="D6" s="827"/>
      <c r="E6" s="827"/>
      <c r="F6" s="827"/>
      <c r="G6" s="828"/>
      <c r="H6" s="321"/>
      <c r="I6" s="832" t="s">
        <v>257</v>
      </c>
      <c r="J6" s="833"/>
      <c r="K6" s="833"/>
      <c r="L6" s="321"/>
      <c r="M6" s="944" t="s">
        <v>258</v>
      </c>
      <c r="N6" s="944"/>
      <c r="O6" s="1046"/>
    </row>
    <row r="7" spans="1:18" ht="17.5">
      <c r="A7" s="531"/>
      <c r="B7" s="849"/>
      <c r="C7" s="851"/>
      <c r="D7" s="829"/>
      <c r="E7" s="829"/>
      <c r="F7" s="829"/>
      <c r="G7" s="830"/>
      <c r="H7" s="322"/>
      <c r="I7" s="834"/>
      <c r="J7" s="835"/>
      <c r="K7" s="835"/>
      <c r="L7" s="322"/>
      <c r="M7" s="944"/>
      <c r="N7" s="944"/>
      <c r="O7" s="1046"/>
    </row>
    <row r="8" spans="1:18" ht="13">
      <c r="A8" s="530"/>
      <c r="B8" s="984"/>
      <c r="C8" s="984"/>
      <c r="D8" s="984"/>
      <c r="E8" s="984"/>
      <c r="F8" s="984"/>
      <c r="G8" s="984"/>
      <c r="H8" s="323"/>
      <c r="I8" s="1038"/>
      <c r="J8" s="831"/>
      <c r="K8" s="831"/>
      <c r="L8" s="323"/>
      <c r="M8" s="792"/>
      <c r="N8" s="726"/>
      <c r="O8" s="1046"/>
    </row>
    <row r="9" spans="1:18" s="473" customFormat="1" ht="12.75" customHeight="1">
      <c r="A9" s="532"/>
      <c r="B9" s="1041" t="s">
        <v>203</v>
      </c>
      <c r="C9" s="927" t="s">
        <v>256</v>
      </c>
      <c r="D9" s="961" t="s">
        <v>250</v>
      </c>
      <c r="E9" s="927" t="s">
        <v>251</v>
      </c>
      <c r="F9" s="923" t="s">
        <v>252</v>
      </c>
      <c r="G9" s="985" t="s">
        <v>253</v>
      </c>
      <c r="H9" s="472"/>
      <c r="I9" s="1044" t="s">
        <v>254</v>
      </c>
      <c r="J9" s="945" t="s">
        <v>259</v>
      </c>
      <c r="K9" s="941" t="s">
        <v>253</v>
      </c>
      <c r="L9" s="472"/>
      <c r="M9" s="668" t="s">
        <v>454</v>
      </c>
      <c r="N9" s="669">
        <v>2.7E-2</v>
      </c>
      <c r="O9" s="1046"/>
    </row>
    <row r="10" spans="1:18" s="473" customFormat="1">
      <c r="A10" s="532"/>
      <c r="B10" s="988"/>
      <c r="C10" s="809"/>
      <c r="D10" s="811"/>
      <c r="E10" s="809"/>
      <c r="F10" s="813"/>
      <c r="G10" s="986"/>
      <c r="H10" s="472"/>
      <c r="I10" s="845"/>
      <c r="J10" s="847"/>
      <c r="K10" s="1050"/>
      <c r="L10" s="472"/>
      <c r="M10" s="668" t="s">
        <v>467</v>
      </c>
      <c r="N10" s="669">
        <v>2.4E-2</v>
      </c>
      <c r="O10" s="1046"/>
      <c r="R10" s="515"/>
    </row>
    <row r="11" spans="1:18" s="473" customFormat="1">
      <c r="A11" s="532"/>
      <c r="B11" s="988"/>
      <c r="C11" s="809"/>
      <c r="D11" s="811"/>
      <c r="E11" s="809"/>
      <c r="F11" s="813"/>
      <c r="G11" s="986"/>
      <c r="H11" s="472"/>
      <c r="I11" s="845"/>
      <c r="J11" s="847"/>
      <c r="K11" s="1050"/>
      <c r="L11" s="472"/>
      <c r="M11" s="668" t="s">
        <v>304</v>
      </c>
      <c r="N11" s="669">
        <f>SUM(N9:N10)</f>
        <v>5.1000000000000004E-2</v>
      </c>
      <c r="O11" s="1046"/>
    </row>
    <row r="12" spans="1:18" s="473" customFormat="1" ht="79.5" customHeight="1">
      <c r="A12" s="532"/>
      <c r="B12" s="989"/>
      <c r="C12" s="928"/>
      <c r="D12" s="962"/>
      <c r="E12" s="928"/>
      <c r="F12" s="924"/>
      <c r="G12" s="987"/>
      <c r="H12" s="472"/>
      <c r="I12" s="845"/>
      <c r="J12" s="946"/>
      <c r="K12" s="1051"/>
      <c r="L12" s="472"/>
      <c r="M12" s="823" t="s">
        <v>415</v>
      </c>
      <c r="N12" s="949"/>
      <c r="O12" s="1046"/>
    </row>
    <row r="13" spans="1:18" s="73" customFormat="1" ht="13">
      <c r="A13" s="532"/>
      <c r="B13" s="725" t="s">
        <v>230</v>
      </c>
      <c r="C13" s="725"/>
      <c r="D13" s="725"/>
      <c r="E13" s="725"/>
      <c r="F13" s="725"/>
      <c r="G13" s="785"/>
      <c r="H13" s="472"/>
      <c r="I13" s="1038"/>
      <c r="J13" s="831"/>
      <c r="K13" s="831"/>
      <c r="L13" s="323"/>
      <c r="M13" s="792"/>
      <c r="N13" s="726"/>
      <c r="O13" s="1046"/>
    </row>
    <row r="14" spans="1:18" s="73" customFormat="1">
      <c r="A14" s="533"/>
      <c r="B14" s="92" t="s">
        <v>204</v>
      </c>
      <c r="C14" s="67"/>
      <c r="D14" s="335"/>
      <c r="E14" s="210">
        <f>+D14-C14</f>
        <v>0</v>
      </c>
      <c r="F14" s="336">
        <f>IF(+C14+D14=0,0,(IF(AND(+C14=0,D14&gt;0),1,(IF(AND(+C14&gt;0,D14=0),-1,+C14/+D14-1)))))</f>
        <v>0</v>
      </c>
      <c r="G14" s="476"/>
      <c r="H14" s="337"/>
      <c r="I14" s="338">
        <f>+'Provider Total Budget by Serv'!K17+'Provider Total Budget by Serv'!K29</f>
        <v>0</v>
      </c>
      <c r="J14" s="339">
        <f>IF(I14+C14=0,0,(IF(AND(I14=0,C14&gt;0),-1,(IF(AND(I14&gt;0,C14=0),1,+I14/C14-1)))))</f>
        <v>0</v>
      </c>
      <c r="K14" s="204"/>
      <c r="L14" s="337"/>
      <c r="M14" s="1040"/>
      <c r="N14" s="996"/>
      <c r="O14" s="1046"/>
    </row>
    <row r="15" spans="1:18" s="73" customFormat="1">
      <c r="A15" s="533"/>
      <c r="B15" s="93" t="s">
        <v>205</v>
      </c>
      <c r="C15" s="69"/>
      <c r="D15" s="341"/>
      <c r="E15" s="516">
        <f>+D15-C15</f>
        <v>0</v>
      </c>
      <c r="F15" s="343">
        <f t="shared" ref="F15:F16" si="0">IF(+C15+D15=0,0,(IF(AND(+C15=0,D15&gt;0),1,(IF(AND(+C15&gt;0,D15=0),-1,+C15/+D15-1)))))</f>
        <v>0</v>
      </c>
      <c r="G15" s="478"/>
      <c r="H15" s="313"/>
      <c r="I15" s="167">
        <f>+'Provider Total Budget by Serv'!K36</f>
        <v>0</v>
      </c>
      <c r="J15" s="339">
        <f>IF(I15+C15=0,0,(IF(AND(I15=0,C15&gt;0),-1,(IF(AND(I15&gt;0,C15=0),1,+I15/C15-1)))))</f>
        <v>0</v>
      </c>
      <c r="K15" s="205"/>
      <c r="L15" s="313"/>
      <c r="M15" s="997"/>
      <c r="N15" s="998"/>
      <c r="O15" s="1046"/>
    </row>
    <row r="16" spans="1:18" s="73" customFormat="1">
      <c r="A16" s="533"/>
      <c r="B16" s="93" t="s">
        <v>1</v>
      </c>
      <c r="C16" s="75">
        <f>SUM(C14:C15)</f>
        <v>0</v>
      </c>
      <c r="D16" s="344">
        <f>SUM(D14:D15)</f>
        <v>0</v>
      </c>
      <c r="E16" s="210">
        <f>+D16-C16</f>
        <v>0</v>
      </c>
      <c r="F16" s="345">
        <f t="shared" si="0"/>
        <v>0</v>
      </c>
      <c r="G16" s="479">
        <f>IF(AND(C16&gt;0,C$80&gt;0),+C16/C$80,0)</f>
        <v>0</v>
      </c>
      <c r="H16" s="313"/>
      <c r="I16" s="168">
        <f>SUM(I14:I15)</f>
        <v>0</v>
      </c>
      <c r="J16" s="480">
        <f>IF(I16+C16=0,0,(IF(AND(I16=0,C16&gt;0),-1,(IF(AND(I16&gt;0,C16=0),1,+I16/C16-1)))))</f>
        <v>0</v>
      </c>
      <c r="K16" s="517">
        <f>IF(AND(I16&gt;0,I$80&gt;0),+I16/I$80,0)</f>
        <v>0</v>
      </c>
      <c r="L16" s="313"/>
      <c r="M16" s="999"/>
      <c r="N16" s="1000"/>
      <c r="O16" s="1046"/>
    </row>
    <row r="17" spans="1:15" s="73" customFormat="1" ht="13">
      <c r="A17" s="532"/>
      <c r="B17" s="725" t="s">
        <v>237</v>
      </c>
      <c r="C17" s="725"/>
      <c r="D17" s="725"/>
      <c r="E17" s="725"/>
      <c r="F17" s="725"/>
      <c r="G17" s="785"/>
      <c r="H17" s="313"/>
      <c r="I17" s="638"/>
      <c r="J17" s="474"/>
      <c r="K17" s="637"/>
      <c r="L17" s="323"/>
      <c r="M17" s="1048"/>
      <c r="N17" s="1049"/>
      <c r="O17" s="1046"/>
    </row>
    <row r="18" spans="1:15" s="73" customFormat="1">
      <c r="A18" s="533"/>
      <c r="B18" s="91" t="s">
        <v>204</v>
      </c>
      <c r="C18" s="67"/>
      <c r="D18" s="352"/>
      <c r="E18" s="210">
        <f>+D18-C18</f>
        <v>0</v>
      </c>
      <c r="F18" s="336">
        <f t="shared" ref="F18:F22" si="1">IF(+C18+D18=0,0,(IF(AND(+C18=0,D18&gt;0),1,(IF(AND(+C18&gt;0,D18=0),-1,+C18/+D18-1)))))</f>
        <v>0</v>
      </c>
      <c r="G18" s="482"/>
      <c r="H18" s="313"/>
      <c r="I18" s="165"/>
      <c r="J18" s="199"/>
      <c r="K18" s="205"/>
      <c r="L18" s="313"/>
      <c r="M18" s="1040"/>
      <c r="N18" s="996"/>
      <c r="O18" s="1046"/>
    </row>
    <row r="19" spans="1:15" s="73" customFormat="1">
      <c r="A19" s="533"/>
      <c r="B19" s="92" t="s">
        <v>205</v>
      </c>
      <c r="C19" s="68"/>
      <c r="D19" s="354"/>
      <c r="E19" s="210">
        <f>+D19-C19</f>
        <v>0</v>
      </c>
      <c r="F19" s="336">
        <f t="shared" si="1"/>
        <v>0</v>
      </c>
      <c r="G19" s="108"/>
      <c r="H19" s="313"/>
      <c r="I19" s="670"/>
      <c r="J19" s="177"/>
      <c r="K19" s="205"/>
      <c r="L19" s="313"/>
      <c r="M19" s="997"/>
      <c r="N19" s="998"/>
      <c r="O19" s="1046"/>
    </row>
    <row r="20" spans="1:15" s="73" customFormat="1">
      <c r="A20" s="533"/>
      <c r="B20" s="92" t="s">
        <v>208</v>
      </c>
      <c r="C20" s="68"/>
      <c r="D20" s="354"/>
      <c r="E20" s="210">
        <f>+D20-C20</f>
        <v>0</v>
      </c>
      <c r="F20" s="336">
        <f t="shared" si="1"/>
        <v>0</v>
      </c>
      <c r="G20" s="108"/>
      <c r="H20" s="313"/>
      <c r="I20" s="166"/>
      <c r="J20" s="177"/>
      <c r="K20" s="205"/>
      <c r="L20" s="313"/>
      <c r="M20" s="997"/>
      <c r="N20" s="998"/>
      <c r="O20" s="1046"/>
    </row>
    <row r="21" spans="1:15" s="73" customFormat="1">
      <c r="A21" s="533"/>
      <c r="B21" s="93" t="s">
        <v>206</v>
      </c>
      <c r="C21" s="69"/>
      <c r="D21" s="341"/>
      <c r="E21" s="516">
        <f>+D21-C21</f>
        <v>0</v>
      </c>
      <c r="F21" s="355">
        <f t="shared" si="1"/>
        <v>0</v>
      </c>
      <c r="G21" s="478"/>
      <c r="H21" s="313"/>
      <c r="I21" s="167"/>
      <c r="J21" s="178"/>
      <c r="K21" s="205"/>
      <c r="L21" s="313"/>
      <c r="M21" s="997"/>
      <c r="N21" s="998"/>
      <c r="O21" s="1046"/>
    </row>
    <row r="22" spans="1:15" s="73" customFormat="1">
      <c r="A22" s="533"/>
      <c r="B22" s="93" t="s">
        <v>1</v>
      </c>
      <c r="C22" s="75">
        <f>SUM(C18:C21)</f>
        <v>0</v>
      </c>
      <c r="D22" s="344">
        <f>SUM(D18:D21)</f>
        <v>0</v>
      </c>
      <c r="E22" s="210">
        <f>+D22-C22</f>
        <v>0</v>
      </c>
      <c r="F22" s="345">
        <f t="shared" si="1"/>
        <v>0</v>
      </c>
      <c r="G22" s="478">
        <f>IF(AND(C22&gt;0,C$80&gt;0),+C22/C$80,0)</f>
        <v>0</v>
      </c>
      <c r="H22" s="313"/>
      <c r="I22" s="168">
        <f>SUM(I18:I21)</f>
        <v>0</v>
      </c>
      <c r="J22" s="202"/>
      <c r="K22" s="517">
        <f>IF(AND(I22&gt;0,I$80&gt;0),+I22/I$80,0)</f>
        <v>0</v>
      </c>
      <c r="L22" s="313"/>
      <c r="M22" s="999"/>
      <c r="N22" s="1000"/>
      <c r="O22" s="1046"/>
    </row>
    <row r="23" spans="1:15" s="73" customFormat="1" ht="12.75" customHeight="1">
      <c r="A23" s="532"/>
      <c r="B23" s="725" t="s">
        <v>231</v>
      </c>
      <c r="C23" s="725"/>
      <c r="D23" s="725"/>
      <c r="E23" s="725"/>
      <c r="F23" s="725"/>
      <c r="G23" s="785"/>
      <c r="H23" s="313"/>
      <c r="I23" s="638"/>
      <c r="J23" s="474"/>
      <c r="K23" s="637"/>
      <c r="L23" s="323"/>
      <c r="M23" s="1042"/>
      <c r="N23" s="1043"/>
      <c r="O23" s="1046"/>
    </row>
    <row r="24" spans="1:15" s="73" customFormat="1">
      <c r="A24" s="533"/>
      <c r="B24" s="92" t="s">
        <v>206</v>
      </c>
      <c r="C24" s="67"/>
      <c r="D24" s="356"/>
      <c r="E24" s="210">
        <f>+D24-C24</f>
        <v>0</v>
      </c>
      <c r="F24" s="107">
        <f t="shared" ref="F24:F27" si="2">IF(+C24+D24=0,0,(IF(AND(+C24=0,D24&gt;0),1,(IF(AND(+C24&gt;0,D24=0),-1,+C24/+D24-1)))))</f>
        <v>0</v>
      </c>
      <c r="G24" s="482"/>
      <c r="H24" s="313"/>
      <c r="I24" s="166">
        <f>+'Provider Total Budget by Serv'!K43</f>
        <v>0</v>
      </c>
      <c r="J24" s="339">
        <f>IF(I24+C24=0,0,(IF(AND(I24=0,C24&gt;0),-1,(IF(AND(I24&gt;0,C24=0),1,+I24/C24-1)))))</f>
        <v>0</v>
      </c>
      <c r="K24" s="205"/>
      <c r="L24" s="313"/>
      <c r="M24" s="1040"/>
      <c r="N24" s="996"/>
      <c r="O24" s="1046"/>
    </row>
    <row r="25" spans="1:15" s="73" customFormat="1">
      <c r="A25" s="533"/>
      <c r="B25" s="92" t="s">
        <v>207</v>
      </c>
      <c r="C25" s="68"/>
      <c r="D25" s="105"/>
      <c r="E25" s="210">
        <f>+D25-C25</f>
        <v>0</v>
      </c>
      <c r="F25" s="107">
        <f t="shared" si="2"/>
        <v>0</v>
      </c>
      <c r="G25" s="108"/>
      <c r="H25" s="313"/>
      <c r="I25" s="518">
        <f>+'Provider Total Budget by Serv'!K48</f>
        <v>0</v>
      </c>
      <c r="J25" s="339">
        <f>IF(I25+C25=0,0,(IF(AND(I25=0,C25&gt;0),-1,(IF(AND(I25&gt;0,C25=0),1,+I25/C25-1)))))</f>
        <v>0</v>
      </c>
      <c r="K25" s="205"/>
      <c r="L25" s="313"/>
      <c r="M25" s="997"/>
      <c r="N25" s="998"/>
      <c r="O25" s="1046"/>
    </row>
    <row r="26" spans="1:15" s="73" customFormat="1">
      <c r="A26" s="533"/>
      <c r="B26" s="93" t="s">
        <v>208</v>
      </c>
      <c r="C26" s="69"/>
      <c r="D26" s="341"/>
      <c r="E26" s="516">
        <f>+D26-C26</f>
        <v>0</v>
      </c>
      <c r="F26" s="343">
        <f t="shared" si="2"/>
        <v>0</v>
      </c>
      <c r="G26" s="478"/>
      <c r="H26" s="313"/>
      <c r="I26" s="167">
        <f>+'Provider Total Budget by Serv'!K53</f>
        <v>0</v>
      </c>
      <c r="J26" s="339">
        <f>IF(I26+C26=0,0,(IF(AND(I26=0,C26&gt;0),-1,(IF(AND(I26&gt;0,C26=0),1,+I26/C26-1)))))</f>
        <v>0</v>
      </c>
      <c r="K26" s="205"/>
      <c r="L26" s="313"/>
      <c r="M26" s="997"/>
      <c r="N26" s="998"/>
      <c r="O26" s="1046"/>
    </row>
    <row r="27" spans="1:15" s="73" customFormat="1">
      <c r="A27" s="533"/>
      <c r="B27" s="93" t="s">
        <v>1</v>
      </c>
      <c r="C27" s="75">
        <f>SUM(C24:C26)</f>
        <v>0</v>
      </c>
      <c r="D27" s="76">
        <f>SUM(D24:D26)</f>
        <v>0</v>
      </c>
      <c r="E27" s="210">
        <f>+D27-C27</f>
        <v>0</v>
      </c>
      <c r="F27" s="345">
        <f t="shared" si="2"/>
        <v>0</v>
      </c>
      <c r="G27" s="478">
        <f>IF(AND(C27&gt;0,C$80&gt;0),+C27/C$80,0)</f>
        <v>0</v>
      </c>
      <c r="H27" s="313"/>
      <c r="I27" s="168">
        <f>SUM(I24:I26)</f>
        <v>0</v>
      </c>
      <c r="J27" s="480">
        <f>IF(I27+C27=0,0,(IF(AND(I27=0,C27&gt;0),-1,(IF(AND(I27&gt;0,C27=0),1,+I27/C27-1)))))</f>
        <v>0</v>
      </c>
      <c r="K27" s="517">
        <f>IF(AND(I27&gt;0,I$80&gt;0),+I27/I$80,0)</f>
        <v>0</v>
      </c>
      <c r="L27" s="313"/>
      <c r="M27" s="999"/>
      <c r="N27" s="1000"/>
      <c r="O27" s="1046"/>
    </row>
    <row r="28" spans="1:15" s="73" customFormat="1" ht="13">
      <c r="A28" s="532"/>
      <c r="B28" s="725" t="s">
        <v>232</v>
      </c>
      <c r="C28" s="725"/>
      <c r="D28" s="725"/>
      <c r="E28" s="725"/>
      <c r="F28" s="725"/>
      <c r="G28" s="785"/>
      <c r="H28" s="313"/>
      <c r="I28" s="638"/>
      <c r="J28" s="447"/>
      <c r="K28" s="637"/>
      <c r="L28" s="323"/>
      <c r="M28" s="1042"/>
      <c r="N28" s="1043"/>
      <c r="O28" s="1046"/>
    </row>
    <row r="29" spans="1:15" s="73" customFormat="1">
      <c r="A29" s="533"/>
      <c r="B29" s="92" t="s">
        <v>20</v>
      </c>
      <c r="C29" s="67"/>
      <c r="D29" s="105"/>
      <c r="E29" s="210">
        <f t="shared" ref="E29:E35" si="3">+D29-C29</f>
        <v>0</v>
      </c>
      <c r="F29" s="107">
        <f t="shared" ref="F29:F35" si="4">IF(+C29+D29=0,0,(IF(AND(+C29=0,D29&gt;0),1,(IF(AND(+C29&gt;0,D29=0),-1,+C29/+D29-1)))))</f>
        <v>0</v>
      </c>
      <c r="G29" s="482"/>
      <c r="H29" s="313"/>
      <c r="I29" s="166">
        <f>+'Provider Total Budget by Serv'!K61</f>
        <v>0</v>
      </c>
      <c r="J29" s="339">
        <f t="shared" ref="J29:J35" si="5">IF(I29+C29=0,0,(IF(AND(I29=0,C29&gt;0),-1,(IF(AND(I29&gt;0,C29=0),1,+I29/C29-1)))))</f>
        <v>0</v>
      </c>
      <c r="K29" s="205"/>
      <c r="L29" s="313"/>
      <c r="M29" s="1040"/>
      <c r="N29" s="996"/>
      <c r="O29" s="1046"/>
    </row>
    <row r="30" spans="1:15" s="73" customFormat="1">
      <c r="A30" s="533"/>
      <c r="B30" s="104" t="s">
        <v>243</v>
      </c>
      <c r="C30" s="68"/>
      <c r="D30" s="105"/>
      <c r="E30" s="210">
        <f t="shared" si="3"/>
        <v>0</v>
      </c>
      <c r="F30" s="107">
        <f t="shared" si="4"/>
        <v>0</v>
      </c>
      <c r="G30" s="108"/>
      <c r="H30" s="313"/>
      <c r="I30" s="166">
        <f>+'Provider Total Budget by Serv'!K68</f>
        <v>0</v>
      </c>
      <c r="J30" s="339">
        <f t="shared" si="5"/>
        <v>0</v>
      </c>
      <c r="K30" s="205"/>
      <c r="L30" s="313"/>
      <c r="M30" s="997"/>
      <c r="N30" s="998"/>
      <c r="O30" s="1046"/>
    </row>
    <row r="31" spans="1:15" s="73" customFormat="1">
      <c r="A31" s="533"/>
      <c r="B31" s="92" t="s">
        <v>21</v>
      </c>
      <c r="C31" s="68"/>
      <c r="D31" s="105"/>
      <c r="E31" s="210">
        <f t="shared" si="3"/>
        <v>0</v>
      </c>
      <c r="F31" s="107">
        <f t="shared" si="4"/>
        <v>0</v>
      </c>
      <c r="G31" s="108"/>
      <c r="H31" s="313"/>
      <c r="I31" s="166">
        <f>+'Provider Total Budget by Serv'!K73</f>
        <v>0</v>
      </c>
      <c r="J31" s="339">
        <f t="shared" si="5"/>
        <v>0</v>
      </c>
      <c r="K31" s="205"/>
      <c r="L31" s="313"/>
      <c r="M31" s="997"/>
      <c r="N31" s="998"/>
      <c r="O31" s="1046"/>
    </row>
    <row r="32" spans="1:15" s="73" customFormat="1">
      <c r="A32" s="533"/>
      <c r="B32" s="92" t="s">
        <v>215</v>
      </c>
      <c r="C32" s="68"/>
      <c r="D32" s="105"/>
      <c r="E32" s="210">
        <f t="shared" si="3"/>
        <v>0</v>
      </c>
      <c r="F32" s="216">
        <f t="shared" si="4"/>
        <v>0</v>
      </c>
      <c r="G32" s="340"/>
      <c r="H32" s="313"/>
      <c r="I32" s="166">
        <f>+'Provider Total Budget by Serv'!K78</f>
        <v>0</v>
      </c>
      <c r="J32" s="339">
        <f t="shared" si="5"/>
        <v>0</v>
      </c>
      <c r="K32" s="205"/>
      <c r="L32" s="313"/>
      <c r="M32" s="997"/>
      <c r="N32" s="998"/>
      <c r="O32" s="1046"/>
    </row>
    <row r="33" spans="1:15" s="73" customFormat="1">
      <c r="A33" s="533"/>
      <c r="B33" s="92" t="s">
        <v>216</v>
      </c>
      <c r="C33" s="68"/>
      <c r="D33" s="105"/>
      <c r="E33" s="210">
        <f t="shared" si="3"/>
        <v>0</v>
      </c>
      <c r="F33" s="216">
        <f t="shared" si="4"/>
        <v>0</v>
      </c>
      <c r="G33" s="108"/>
      <c r="H33" s="313"/>
      <c r="I33" s="166">
        <f>+'Provider Total Budget by Serv'!K87</f>
        <v>0</v>
      </c>
      <c r="J33" s="339">
        <f t="shared" si="5"/>
        <v>0</v>
      </c>
      <c r="K33" s="205"/>
      <c r="L33" s="313"/>
      <c r="M33" s="997"/>
      <c r="N33" s="998"/>
      <c r="O33" s="1046"/>
    </row>
    <row r="34" spans="1:15" s="73" customFormat="1">
      <c r="A34" s="533"/>
      <c r="B34" s="93" t="s">
        <v>219</v>
      </c>
      <c r="C34" s="69"/>
      <c r="D34" s="358"/>
      <c r="E34" s="516">
        <f t="shared" si="3"/>
        <v>0</v>
      </c>
      <c r="F34" s="359">
        <f t="shared" si="4"/>
        <v>0</v>
      </c>
      <c r="G34" s="478"/>
      <c r="H34" s="313"/>
      <c r="I34" s="167">
        <f>+'Provider Total Budget by Serv'!K92</f>
        <v>0</v>
      </c>
      <c r="J34" s="339">
        <f t="shared" si="5"/>
        <v>0</v>
      </c>
      <c r="K34" s="205"/>
      <c r="L34" s="313"/>
      <c r="M34" s="997"/>
      <c r="N34" s="998"/>
      <c r="O34" s="1046"/>
    </row>
    <row r="35" spans="1:15" s="73" customFormat="1">
      <c r="A35" s="533"/>
      <c r="B35" s="93" t="s">
        <v>1</v>
      </c>
      <c r="C35" s="75">
        <f>SUM(C29:C34)</f>
        <v>0</v>
      </c>
      <c r="D35" s="76">
        <f>SUM(D29:D34)</f>
        <v>0</v>
      </c>
      <c r="E35" s="210">
        <f t="shared" si="3"/>
        <v>0</v>
      </c>
      <c r="F35" s="345">
        <f t="shared" si="4"/>
        <v>0</v>
      </c>
      <c r="G35" s="478">
        <f>IF(AND(C35&gt;0,C$80&gt;0),+C35/C$80,0)</f>
        <v>0</v>
      </c>
      <c r="H35" s="313"/>
      <c r="I35" s="168">
        <f>SUM(I29:I34)</f>
        <v>0</v>
      </c>
      <c r="J35" s="480">
        <f t="shared" si="5"/>
        <v>0</v>
      </c>
      <c r="K35" s="517">
        <f>IF(AND(I35&gt;0,I$80&gt;0),+I35/I$80,0)</f>
        <v>0</v>
      </c>
      <c r="L35" s="313"/>
      <c r="M35" s="999"/>
      <c r="N35" s="1000"/>
      <c r="O35" s="1046"/>
    </row>
    <row r="36" spans="1:15" s="73" customFormat="1" ht="13">
      <c r="A36" s="532"/>
      <c r="B36" s="725" t="s">
        <v>233</v>
      </c>
      <c r="C36" s="725"/>
      <c r="D36" s="725"/>
      <c r="E36" s="725"/>
      <c r="F36" s="725"/>
      <c r="G36" s="785"/>
      <c r="H36" s="313"/>
      <c r="I36" s="638"/>
      <c r="J36" s="474"/>
      <c r="K36" s="637"/>
      <c r="L36" s="323"/>
      <c r="M36" s="1042"/>
      <c r="N36" s="1043"/>
      <c r="O36" s="1046"/>
    </row>
    <row r="37" spans="1:15" s="73" customFormat="1">
      <c r="A37" s="533"/>
      <c r="B37" s="92" t="s">
        <v>209</v>
      </c>
      <c r="C37" s="67"/>
      <c r="D37" s="105"/>
      <c r="E37" s="210">
        <f>+D37-C37</f>
        <v>0</v>
      </c>
      <c r="F37" s="107">
        <f t="shared" ref="F37:F41" si="6">IF(+C37+D37=0,0,(IF(AND(+C37=0,D37&gt;0),1,(IF(AND(+C37&gt;0,D37=0),-1,+C37/+D37-1)))))</f>
        <v>0</v>
      </c>
      <c r="G37" s="340"/>
      <c r="H37" s="313"/>
      <c r="I37" s="166">
        <f>+'Provider Total Budget by Serv'!K99</f>
        <v>0</v>
      </c>
      <c r="J37" s="339">
        <f>IF(I37+C37=0,0,(IF(AND(I37=0,C37&gt;0),-1,(IF(AND(I37&gt;0,C37=0),1,+I37/C37-1)))))</f>
        <v>0</v>
      </c>
      <c r="K37" s="205"/>
      <c r="L37" s="313"/>
      <c r="M37" s="1040"/>
      <c r="N37" s="996"/>
      <c r="O37" s="1046"/>
    </row>
    <row r="38" spans="1:15" s="73" customFormat="1">
      <c r="A38" s="533"/>
      <c r="B38" s="92" t="s">
        <v>4</v>
      </c>
      <c r="C38" s="68"/>
      <c r="D38" s="105"/>
      <c r="E38" s="210">
        <f>+D38-C38</f>
        <v>0</v>
      </c>
      <c r="F38" s="107">
        <f t="shared" si="6"/>
        <v>0</v>
      </c>
      <c r="G38" s="108"/>
      <c r="H38" s="313"/>
      <c r="I38" s="166">
        <f>+'Provider Total Budget by Serv'!K104</f>
        <v>0</v>
      </c>
      <c r="J38" s="339">
        <f>IF(I38+C38=0,0,(IF(AND(I38=0,C38&gt;0),-1,(IF(AND(I38&gt;0,C38=0),1,+I38/C38-1)))))</f>
        <v>0</v>
      </c>
      <c r="K38" s="205"/>
      <c r="L38" s="313"/>
      <c r="M38" s="997"/>
      <c r="N38" s="998"/>
      <c r="O38" s="1046"/>
    </row>
    <row r="39" spans="1:15" s="73" customFormat="1">
      <c r="A39" s="533"/>
      <c r="B39" s="92" t="s">
        <v>210</v>
      </c>
      <c r="C39" s="68"/>
      <c r="D39" s="105"/>
      <c r="E39" s="210">
        <f>+D39-C39</f>
        <v>0</v>
      </c>
      <c r="F39" s="107">
        <f t="shared" si="6"/>
        <v>0</v>
      </c>
      <c r="G39" s="108"/>
      <c r="H39" s="313"/>
      <c r="I39" s="166">
        <f>+'Provider Total Budget by Serv'!K109</f>
        <v>0</v>
      </c>
      <c r="J39" s="339">
        <f>IF(I39+C39=0,0,(IF(AND(I39=0,C39&gt;0),-1,(IF(AND(I39&gt;0,C39=0),1,+I39/C39-1)))))</f>
        <v>0</v>
      </c>
      <c r="K39" s="205"/>
      <c r="L39" s="313"/>
      <c r="M39" s="997"/>
      <c r="N39" s="998"/>
      <c r="O39" s="1046"/>
    </row>
    <row r="40" spans="1:15" s="73" customFormat="1">
      <c r="A40" s="533"/>
      <c r="B40" s="93" t="s">
        <v>211</v>
      </c>
      <c r="C40" s="69"/>
      <c r="D40" s="341"/>
      <c r="E40" s="516">
        <f>+D40-C40</f>
        <v>0</v>
      </c>
      <c r="F40" s="343">
        <f t="shared" si="6"/>
        <v>0</v>
      </c>
      <c r="G40" s="478"/>
      <c r="H40" s="313"/>
      <c r="I40" s="167">
        <f>+'Provider Total Budget by Serv'!K114</f>
        <v>0</v>
      </c>
      <c r="J40" s="339">
        <f>IF(I40+C40=0,0,(IF(AND(I40=0,C40&gt;0),-1,(IF(AND(I40&gt;0,C40=0),1,+I40/C40-1)))))</f>
        <v>0</v>
      </c>
      <c r="K40" s="205"/>
      <c r="L40" s="313"/>
      <c r="M40" s="997"/>
      <c r="N40" s="998"/>
      <c r="O40" s="1046"/>
    </row>
    <row r="41" spans="1:15" s="73" customFormat="1">
      <c r="A41" s="533"/>
      <c r="B41" s="93" t="s">
        <v>1</v>
      </c>
      <c r="C41" s="75">
        <f>SUM(C37:C40)</f>
        <v>0</v>
      </c>
      <c r="D41" s="76">
        <f>SUM(D37:D40)</f>
        <v>0</v>
      </c>
      <c r="E41" s="210">
        <f>+D41-C41</f>
        <v>0</v>
      </c>
      <c r="F41" s="345">
        <f t="shared" si="6"/>
        <v>0</v>
      </c>
      <c r="G41" s="478">
        <f>IF(AND(C41&gt;0,C$80&gt;0),+C41/C$80,0)</f>
        <v>0</v>
      </c>
      <c r="H41" s="313"/>
      <c r="I41" s="168">
        <f>SUM(I37:I40)</f>
        <v>0</v>
      </c>
      <c r="J41" s="480">
        <f>IF(I41+C41=0,0,(IF(AND(I41=0,C41&gt;0),-1,(IF(AND(I41&gt;0,C41=0),1,+I41/C41-1)))))</f>
        <v>0</v>
      </c>
      <c r="K41" s="517">
        <f>IF(AND(I41&gt;0,I$80&gt;0),+I41/I$80,0)</f>
        <v>0</v>
      </c>
      <c r="L41" s="313"/>
      <c r="M41" s="999"/>
      <c r="N41" s="1000"/>
      <c r="O41" s="1046"/>
    </row>
    <row r="42" spans="1:15" s="73" customFormat="1" ht="13">
      <c r="A42" s="532"/>
      <c r="B42" s="725" t="s">
        <v>234</v>
      </c>
      <c r="C42" s="725"/>
      <c r="D42" s="725"/>
      <c r="E42" s="725"/>
      <c r="F42" s="725"/>
      <c r="G42" s="785"/>
      <c r="H42" s="313"/>
      <c r="I42" s="610"/>
      <c r="J42" s="447"/>
      <c r="K42" s="608"/>
      <c r="L42" s="323"/>
      <c r="M42" s="1042"/>
      <c r="N42" s="1043"/>
      <c r="O42" s="1046"/>
    </row>
    <row r="43" spans="1:15" s="73" customFormat="1">
      <c r="A43" s="533"/>
      <c r="B43" s="92" t="s">
        <v>6</v>
      </c>
      <c r="C43" s="67"/>
      <c r="D43" s="105"/>
      <c r="E43" s="210">
        <f t="shared" ref="E43:E52" si="7">+D43-C43</f>
        <v>0</v>
      </c>
      <c r="F43" s="107">
        <f t="shared" ref="F43:F52" si="8">IF(+C43+D43=0,0,(IF(AND(+C43=0,D43&gt;0),1,(IF(AND(+C43&gt;0,D43=0),-1,+C43/+D43-1)))))</f>
        <v>0</v>
      </c>
      <c r="G43" s="108"/>
      <c r="H43" s="313"/>
      <c r="I43" s="338">
        <f>+'Provider Total Budget by Serv'!K121</f>
        <v>0</v>
      </c>
      <c r="J43" s="339">
        <f t="shared" ref="J43:J52" si="9">IF(I43+C43=0,0,(IF(AND(I43=0,C43&gt;0),-1,(IF(AND(I43&gt;0,C43=0),1,+I43/C43-1)))))</f>
        <v>0</v>
      </c>
      <c r="K43" s="205"/>
      <c r="L43" s="313"/>
      <c r="M43" s="1040"/>
      <c r="N43" s="996"/>
      <c r="O43" s="1046"/>
    </row>
    <row r="44" spans="1:15" s="73" customFormat="1">
      <c r="A44" s="533"/>
      <c r="B44" s="92" t="s">
        <v>7</v>
      </c>
      <c r="C44" s="68"/>
      <c r="D44" s="105"/>
      <c r="E44" s="210">
        <f t="shared" si="7"/>
        <v>0</v>
      </c>
      <c r="F44" s="107">
        <f t="shared" si="8"/>
        <v>0</v>
      </c>
      <c r="G44" s="108"/>
      <c r="H44" s="313"/>
      <c r="I44" s="166">
        <f>+'Provider Total Budget by Serv'!K126</f>
        <v>0</v>
      </c>
      <c r="J44" s="339">
        <f t="shared" si="9"/>
        <v>0</v>
      </c>
      <c r="K44" s="205"/>
      <c r="L44" s="313"/>
      <c r="M44" s="997"/>
      <c r="N44" s="998"/>
      <c r="O44" s="1046"/>
    </row>
    <row r="45" spans="1:15" s="73" customFormat="1">
      <c r="A45" s="533"/>
      <c r="B45" s="92" t="s">
        <v>209</v>
      </c>
      <c r="C45" s="68"/>
      <c r="D45" s="105"/>
      <c r="E45" s="210">
        <f t="shared" si="7"/>
        <v>0</v>
      </c>
      <c r="F45" s="107">
        <f t="shared" si="8"/>
        <v>0</v>
      </c>
      <c r="G45" s="340"/>
      <c r="H45" s="313"/>
      <c r="I45" s="166">
        <f>+'Provider Total Budget by Serv'!K131</f>
        <v>0</v>
      </c>
      <c r="J45" s="339">
        <f t="shared" si="9"/>
        <v>0</v>
      </c>
      <c r="K45" s="205"/>
      <c r="L45" s="313"/>
      <c r="M45" s="997"/>
      <c r="N45" s="998"/>
      <c r="O45" s="1046"/>
    </row>
    <row r="46" spans="1:15" s="73" customFormat="1">
      <c r="A46" s="533"/>
      <c r="B46" s="92" t="s">
        <v>39</v>
      </c>
      <c r="C46" s="68"/>
      <c r="D46" s="105"/>
      <c r="E46" s="210">
        <f t="shared" si="7"/>
        <v>0</v>
      </c>
      <c r="F46" s="107">
        <f t="shared" si="8"/>
        <v>0</v>
      </c>
      <c r="G46" s="108"/>
      <c r="H46" s="313"/>
      <c r="I46" s="166">
        <f>+'Provider Total Budget by Serv'!K136</f>
        <v>0</v>
      </c>
      <c r="J46" s="339">
        <f t="shared" si="9"/>
        <v>0</v>
      </c>
      <c r="K46" s="205"/>
      <c r="L46" s="313"/>
      <c r="M46" s="997"/>
      <c r="N46" s="998"/>
      <c r="O46" s="1046"/>
    </row>
    <row r="47" spans="1:15" s="73" customFormat="1">
      <c r="A47" s="533"/>
      <c r="B47" s="92" t="s">
        <v>212</v>
      </c>
      <c r="C47" s="68"/>
      <c r="D47" s="105"/>
      <c r="E47" s="210">
        <f t="shared" si="7"/>
        <v>0</v>
      </c>
      <c r="F47" s="107">
        <f t="shared" si="8"/>
        <v>0</v>
      </c>
      <c r="G47" s="108"/>
      <c r="H47" s="313"/>
      <c r="I47" s="166">
        <f>+'Provider Total Budget by Serv'!K141</f>
        <v>0</v>
      </c>
      <c r="J47" s="339">
        <f t="shared" si="9"/>
        <v>0</v>
      </c>
      <c r="K47" s="205"/>
      <c r="L47" s="313"/>
      <c r="M47" s="997"/>
      <c r="N47" s="998"/>
      <c r="O47" s="1046"/>
    </row>
    <row r="48" spans="1:15" s="73" customFormat="1">
      <c r="A48" s="533"/>
      <c r="B48" s="92" t="s">
        <v>8</v>
      </c>
      <c r="C48" s="68"/>
      <c r="D48" s="105"/>
      <c r="E48" s="210">
        <f t="shared" si="7"/>
        <v>0</v>
      </c>
      <c r="F48" s="107">
        <f t="shared" si="8"/>
        <v>0</v>
      </c>
      <c r="G48" s="340"/>
      <c r="H48" s="313"/>
      <c r="I48" s="166">
        <f>+'Provider Total Budget by Serv'!K146</f>
        <v>0</v>
      </c>
      <c r="J48" s="339">
        <f t="shared" si="9"/>
        <v>0</v>
      </c>
      <c r="K48" s="205"/>
      <c r="L48" s="313"/>
      <c r="M48" s="997"/>
      <c r="N48" s="998"/>
      <c r="O48" s="1046"/>
    </row>
    <row r="49" spans="1:15" s="73" customFormat="1">
      <c r="A49" s="533"/>
      <c r="B49" s="92" t="s">
        <v>9</v>
      </c>
      <c r="C49" s="68"/>
      <c r="D49" s="105"/>
      <c r="E49" s="210">
        <f t="shared" si="7"/>
        <v>0</v>
      </c>
      <c r="F49" s="107">
        <f t="shared" si="8"/>
        <v>0</v>
      </c>
      <c r="G49" s="108"/>
      <c r="H49" s="313"/>
      <c r="I49" s="166">
        <f>+'Provider Total Budget by Serv'!K151</f>
        <v>0</v>
      </c>
      <c r="J49" s="339">
        <f t="shared" si="9"/>
        <v>0</v>
      </c>
      <c r="K49" s="205"/>
      <c r="L49" s="313"/>
      <c r="M49" s="997"/>
      <c r="N49" s="998"/>
      <c r="O49" s="1046"/>
    </row>
    <row r="50" spans="1:15" s="73" customFormat="1">
      <c r="A50" s="533"/>
      <c r="B50" s="92" t="s">
        <v>213</v>
      </c>
      <c r="C50" s="68"/>
      <c r="D50" s="105"/>
      <c r="E50" s="210">
        <f t="shared" si="7"/>
        <v>0</v>
      </c>
      <c r="F50" s="107">
        <f t="shared" si="8"/>
        <v>0</v>
      </c>
      <c r="G50" s="108"/>
      <c r="H50" s="313"/>
      <c r="I50" s="166">
        <f>+'Provider Total Budget by Serv'!K156</f>
        <v>0</v>
      </c>
      <c r="J50" s="339">
        <f t="shared" si="9"/>
        <v>0</v>
      </c>
      <c r="K50" s="205"/>
      <c r="L50" s="313"/>
      <c r="M50" s="997"/>
      <c r="N50" s="998"/>
      <c r="O50" s="1046"/>
    </row>
    <row r="51" spans="1:15" s="73" customFormat="1">
      <c r="A51" s="533"/>
      <c r="B51" s="93" t="s">
        <v>214</v>
      </c>
      <c r="C51" s="69"/>
      <c r="D51" s="341"/>
      <c r="E51" s="516">
        <f t="shared" si="7"/>
        <v>0</v>
      </c>
      <c r="F51" s="343">
        <f t="shared" si="8"/>
        <v>0</v>
      </c>
      <c r="G51" s="478"/>
      <c r="H51" s="313"/>
      <c r="I51" s="167">
        <f>+'Provider Total Budget by Serv'!K161</f>
        <v>0</v>
      </c>
      <c r="J51" s="339">
        <f t="shared" si="9"/>
        <v>0</v>
      </c>
      <c r="K51" s="205"/>
      <c r="L51" s="313"/>
      <c r="M51" s="997"/>
      <c r="N51" s="998"/>
      <c r="O51" s="1046"/>
    </row>
    <row r="52" spans="1:15" s="73" customFormat="1">
      <c r="A52" s="533"/>
      <c r="B52" s="93" t="s">
        <v>1</v>
      </c>
      <c r="C52" s="75">
        <f>SUM(C43:C51)</f>
        <v>0</v>
      </c>
      <c r="D52" s="76">
        <f>SUM(D43:D51)</f>
        <v>0</v>
      </c>
      <c r="E52" s="210">
        <f t="shared" si="7"/>
        <v>0</v>
      </c>
      <c r="F52" s="345">
        <f t="shared" si="8"/>
        <v>0</v>
      </c>
      <c r="G52" s="478">
        <f>IF(AND(C52&gt;0,C$80&gt;0),+C52/C$80,0)</f>
        <v>0</v>
      </c>
      <c r="H52" s="313"/>
      <c r="I52" s="168">
        <f>SUM(I43:I51)</f>
        <v>0</v>
      </c>
      <c r="J52" s="480">
        <f t="shared" si="9"/>
        <v>0</v>
      </c>
      <c r="K52" s="517">
        <f>IF(AND(I52&gt;0,I$80&gt;0),+I52/I$80,0)</f>
        <v>0</v>
      </c>
      <c r="L52" s="313"/>
      <c r="M52" s="999"/>
      <c r="N52" s="1000"/>
      <c r="O52" s="1046"/>
    </row>
    <row r="53" spans="1:15" s="73" customFormat="1" ht="13">
      <c r="A53" s="532"/>
      <c r="B53" s="725" t="s">
        <v>235</v>
      </c>
      <c r="C53" s="725"/>
      <c r="D53" s="725"/>
      <c r="E53" s="725"/>
      <c r="F53" s="725"/>
      <c r="G53" s="785"/>
      <c r="H53" s="313"/>
      <c r="I53" s="610"/>
      <c r="J53" s="474"/>
      <c r="K53" s="608"/>
      <c r="L53" s="323"/>
      <c r="M53" s="1042"/>
      <c r="N53" s="1043"/>
      <c r="O53" s="1046"/>
    </row>
    <row r="54" spans="1:15" s="73" customFormat="1">
      <c r="A54" s="533"/>
      <c r="B54" s="92" t="s">
        <v>27</v>
      </c>
      <c r="C54" s="67"/>
      <c r="D54" s="105"/>
      <c r="E54" s="210">
        <f t="shared" ref="E54:E62" si="10">+D54-C54</f>
        <v>0</v>
      </c>
      <c r="F54" s="107">
        <f t="shared" ref="F54:F62" si="11">IF(+C54+D54=0,0,(IF(AND(+C54=0,D54&gt;0),1,(IF(AND(+C54&gt;0,D54=0),-1,+C54/+D54-1)))))</f>
        <v>0</v>
      </c>
      <c r="G54" s="483"/>
      <c r="H54" s="313"/>
      <c r="I54" s="166">
        <f>+'Provider Total Budget by Serv'!K168</f>
        <v>0</v>
      </c>
      <c r="J54" s="339">
        <f t="shared" ref="J54:J62" si="12">IF(I54+C54=0,0,(IF(AND(I54=0,C54&gt;0),-1,(IF(AND(I54&gt;0,C54=0),1,+I54/C54-1)))))</f>
        <v>0</v>
      </c>
      <c r="K54" s="205"/>
      <c r="L54" s="313"/>
      <c r="M54" s="1040"/>
      <c r="N54" s="996"/>
      <c r="O54" s="1046"/>
    </row>
    <row r="55" spans="1:15" s="73" customFormat="1">
      <c r="A55" s="533"/>
      <c r="B55" s="92" t="s">
        <v>22</v>
      </c>
      <c r="C55" s="68"/>
      <c r="D55" s="105"/>
      <c r="E55" s="210">
        <f t="shared" si="10"/>
        <v>0</v>
      </c>
      <c r="F55" s="107">
        <f t="shared" si="11"/>
        <v>0</v>
      </c>
      <c r="G55" s="205"/>
      <c r="H55" s="313"/>
      <c r="I55" s="166">
        <f>+'Provider Total Budget by Serv'!K173</f>
        <v>0</v>
      </c>
      <c r="J55" s="339">
        <f t="shared" si="12"/>
        <v>0</v>
      </c>
      <c r="K55" s="205"/>
      <c r="L55" s="313"/>
      <c r="M55" s="997"/>
      <c r="N55" s="998"/>
      <c r="O55" s="1046"/>
    </row>
    <row r="56" spans="1:15" s="73" customFormat="1">
      <c r="A56" s="533"/>
      <c r="B56" s="92" t="s">
        <v>23</v>
      </c>
      <c r="C56" s="68"/>
      <c r="D56" s="105"/>
      <c r="E56" s="210">
        <f t="shared" si="10"/>
        <v>0</v>
      </c>
      <c r="F56" s="107">
        <f t="shared" si="11"/>
        <v>0</v>
      </c>
      <c r="G56" s="205"/>
      <c r="H56" s="313"/>
      <c r="I56" s="166">
        <f>+'Provider Total Budget by Serv'!K178</f>
        <v>0</v>
      </c>
      <c r="J56" s="339">
        <f t="shared" si="12"/>
        <v>0</v>
      </c>
      <c r="K56" s="205"/>
      <c r="L56" s="313"/>
      <c r="M56" s="997"/>
      <c r="N56" s="998"/>
      <c r="O56" s="1046"/>
    </row>
    <row r="57" spans="1:15" s="73" customFormat="1">
      <c r="A57" s="533"/>
      <c r="B57" s="92" t="s">
        <v>217</v>
      </c>
      <c r="C57" s="68"/>
      <c r="D57" s="105"/>
      <c r="E57" s="210">
        <f t="shared" si="10"/>
        <v>0</v>
      </c>
      <c r="F57" s="107">
        <f t="shared" si="11"/>
        <v>0</v>
      </c>
      <c r="G57" s="205"/>
      <c r="H57" s="313"/>
      <c r="I57" s="166">
        <f>+'Provider Total Budget by Serv'!K183</f>
        <v>0</v>
      </c>
      <c r="J57" s="339">
        <f t="shared" si="12"/>
        <v>0</v>
      </c>
      <c r="K57" s="205"/>
      <c r="L57" s="313"/>
      <c r="M57" s="997"/>
      <c r="N57" s="998"/>
      <c r="O57" s="1046"/>
    </row>
    <row r="58" spans="1:15" s="73" customFormat="1">
      <c r="A58" s="533"/>
      <c r="B58" s="92" t="s">
        <v>212</v>
      </c>
      <c r="C58" s="68"/>
      <c r="D58" s="105"/>
      <c r="E58" s="210">
        <f t="shared" si="10"/>
        <v>0</v>
      </c>
      <c r="F58" s="107">
        <f t="shared" si="11"/>
        <v>0</v>
      </c>
      <c r="G58" s="205"/>
      <c r="H58" s="313"/>
      <c r="I58" s="166">
        <f>+'Provider Total Budget by Serv'!K188</f>
        <v>0</v>
      </c>
      <c r="J58" s="339">
        <f t="shared" si="12"/>
        <v>0</v>
      </c>
      <c r="K58" s="205"/>
      <c r="L58" s="313"/>
      <c r="M58" s="997"/>
      <c r="N58" s="998"/>
      <c r="O58" s="1046"/>
    </row>
    <row r="59" spans="1:15" s="73" customFormat="1">
      <c r="A59" s="533"/>
      <c r="B59" s="92" t="s">
        <v>218</v>
      </c>
      <c r="C59" s="68"/>
      <c r="D59" s="105"/>
      <c r="E59" s="210">
        <f t="shared" si="10"/>
        <v>0</v>
      </c>
      <c r="F59" s="107">
        <f t="shared" si="11"/>
        <v>0</v>
      </c>
      <c r="G59" s="108"/>
      <c r="H59" s="313"/>
      <c r="I59" s="166">
        <f>+'Provider Total Budget by Serv'!K193</f>
        <v>0</v>
      </c>
      <c r="J59" s="339">
        <f t="shared" si="12"/>
        <v>0</v>
      </c>
      <c r="K59" s="205"/>
      <c r="L59" s="313"/>
      <c r="M59" s="997"/>
      <c r="N59" s="998"/>
      <c r="O59" s="1046"/>
    </row>
    <row r="60" spans="1:15" s="73" customFormat="1">
      <c r="A60" s="533"/>
      <c r="B60" s="92" t="s">
        <v>4</v>
      </c>
      <c r="C60" s="68"/>
      <c r="D60" s="105"/>
      <c r="E60" s="210">
        <f t="shared" si="10"/>
        <v>0</v>
      </c>
      <c r="F60" s="107">
        <f t="shared" si="11"/>
        <v>0</v>
      </c>
      <c r="G60" s="108"/>
      <c r="H60" s="313"/>
      <c r="I60" s="166">
        <f>+'Provider Total Budget by Serv'!K198</f>
        <v>0</v>
      </c>
      <c r="J60" s="339">
        <f t="shared" si="12"/>
        <v>0</v>
      </c>
      <c r="K60" s="205"/>
      <c r="L60" s="313"/>
      <c r="M60" s="997"/>
      <c r="N60" s="998"/>
      <c r="O60" s="1046"/>
    </row>
    <row r="61" spans="1:15" s="73" customFormat="1">
      <c r="A61" s="533"/>
      <c r="B61" s="93" t="s">
        <v>29</v>
      </c>
      <c r="C61" s="69"/>
      <c r="D61" s="341"/>
      <c r="E61" s="516">
        <f t="shared" si="10"/>
        <v>0</v>
      </c>
      <c r="F61" s="343">
        <f t="shared" si="11"/>
        <v>0</v>
      </c>
      <c r="G61" s="478"/>
      <c r="H61" s="313"/>
      <c r="I61" s="167">
        <f>+'Provider Total Budget by Serv'!K203</f>
        <v>0</v>
      </c>
      <c r="J61" s="355">
        <f t="shared" si="12"/>
        <v>0</v>
      </c>
      <c r="K61" s="205"/>
      <c r="L61" s="313"/>
      <c r="M61" s="997"/>
      <c r="N61" s="998"/>
      <c r="O61" s="1046"/>
    </row>
    <row r="62" spans="1:15" s="73" customFormat="1">
      <c r="A62" s="533"/>
      <c r="B62" s="93" t="s">
        <v>1</v>
      </c>
      <c r="C62" s="75">
        <f>SUM(C54:C61)</f>
        <v>0</v>
      </c>
      <c r="D62" s="76">
        <f>SUM(D54:D61)</f>
        <v>0</v>
      </c>
      <c r="E62" s="210">
        <f t="shared" si="10"/>
        <v>0</v>
      </c>
      <c r="F62" s="345">
        <f t="shared" si="11"/>
        <v>0</v>
      </c>
      <c r="G62" s="478">
        <f>IF(AND(C62&gt;0,C$80&gt;0),+C62/C$80,0)</f>
        <v>0</v>
      </c>
      <c r="H62" s="313"/>
      <c r="I62" s="168">
        <f>SUM(I54:I61)</f>
        <v>0</v>
      </c>
      <c r="J62" s="339">
        <f t="shared" si="12"/>
        <v>0</v>
      </c>
      <c r="K62" s="517">
        <f>IF(AND(I62&gt;0,I$80&gt;0),+I62/I$80,0)</f>
        <v>0</v>
      </c>
      <c r="L62" s="313"/>
      <c r="M62" s="999"/>
      <c r="N62" s="1000"/>
      <c r="O62" s="1046"/>
    </row>
    <row r="63" spans="1:15" s="73" customFormat="1" ht="13">
      <c r="A63" s="532"/>
      <c r="B63" s="725" t="s">
        <v>236</v>
      </c>
      <c r="C63" s="725"/>
      <c r="D63" s="725"/>
      <c r="E63" s="725"/>
      <c r="F63" s="725"/>
      <c r="G63" s="785"/>
      <c r="H63" s="313"/>
      <c r="I63" s="610"/>
      <c r="J63" s="484"/>
      <c r="K63" s="608"/>
      <c r="L63" s="323"/>
      <c r="M63" s="1042"/>
      <c r="N63" s="1043"/>
      <c r="O63" s="1046"/>
    </row>
    <row r="64" spans="1:15" s="73" customFormat="1">
      <c r="A64" s="533"/>
      <c r="B64" s="92" t="s">
        <v>18</v>
      </c>
      <c r="C64" s="68"/>
      <c r="D64" s="105"/>
      <c r="E64" s="210">
        <f t="shared" ref="E64:E78" si="13">+D64-C64</f>
        <v>0</v>
      </c>
      <c r="F64" s="107">
        <f t="shared" ref="F64:F78" si="14">IF(+C64+D64=0,0,(IF(AND(+C64=0,D64&gt;0),1,(IF(AND(+C64&gt;0,D64=0),-1,+C64/+D64-1)))))</f>
        <v>0</v>
      </c>
      <c r="G64" s="205"/>
      <c r="H64" s="313"/>
      <c r="I64" s="166">
        <f>+'Provider Total Budget by Serv'!K210</f>
        <v>0</v>
      </c>
      <c r="J64" s="339">
        <f t="shared" ref="J64:J78" si="15">IF(I64+C64=0,0,(IF(AND(I64=0,C64&gt;0),-1,(IF(AND(I64&gt;0,C64=0),1,+I64/C64-1)))))</f>
        <v>0</v>
      </c>
      <c r="K64" s="205"/>
      <c r="L64" s="313"/>
      <c r="M64" s="1040"/>
      <c r="N64" s="996"/>
      <c r="O64" s="1046"/>
    </row>
    <row r="65" spans="1:15" s="73" customFormat="1">
      <c r="A65" s="533"/>
      <c r="B65" s="92" t="s">
        <v>10</v>
      </c>
      <c r="C65" s="68"/>
      <c r="D65" s="105"/>
      <c r="E65" s="210">
        <f t="shared" si="13"/>
        <v>0</v>
      </c>
      <c r="F65" s="107">
        <f t="shared" si="14"/>
        <v>0</v>
      </c>
      <c r="G65" s="205"/>
      <c r="H65" s="313"/>
      <c r="I65" s="166">
        <f>+'Provider Total Budget by Serv'!K215</f>
        <v>0</v>
      </c>
      <c r="J65" s="339">
        <f t="shared" si="15"/>
        <v>0</v>
      </c>
      <c r="K65" s="205"/>
      <c r="L65" s="313"/>
      <c r="M65" s="997"/>
      <c r="N65" s="998"/>
      <c r="O65" s="1046"/>
    </row>
    <row r="66" spans="1:15" s="73" customFormat="1">
      <c r="A66" s="533"/>
      <c r="B66" s="92" t="s">
        <v>11</v>
      </c>
      <c r="C66" s="68"/>
      <c r="D66" s="105"/>
      <c r="E66" s="210">
        <f t="shared" si="13"/>
        <v>0</v>
      </c>
      <c r="F66" s="107">
        <f t="shared" si="14"/>
        <v>0</v>
      </c>
      <c r="G66" s="205"/>
      <c r="H66" s="313"/>
      <c r="I66" s="166">
        <f>+'Provider Total Budget by Serv'!K220</f>
        <v>0</v>
      </c>
      <c r="J66" s="339">
        <f t="shared" si="15"/>
        <v>0</v>
      </c>
      <c r="K66" s="205"/>
      <c r="L66" s="313"/>
      <c r="M66" s="997"/>
      <c r="N66" s="998"/>
      <c r="O66" s="1046"/>
    </row>
    <row r="67" spans="1:15" s="73" customFormat="1">
      <c r="A67" s="533"/>
      <c r="B67" s="92" t="s">
        <v>12</v>
      </c>
      <c r="C67" s="68"/>
      <c r="D67" s="105"/>
      <c r="E67" s="210">
        <f t="shared" si="13"/>
        <v>0</v>
      </c>
      <c r="F67" s="107">
        <f t="shared" si="14"/>
        <v>0</v>
      </c>
      <c r="G67" s="205"/>
      <c r="H67" s="313"/>
      <c r="I67" s="166">
        <f>+'Provider Total Budget by Serv'!K225</f>
        <v>0</v>
      </c>
      <c r="J67" s="339">
        <f t="shared" si="15"/>
        <v>0</v>
      </c>
      <c r="K67" s="205"/>
      <c r="L67" s="313"/>
      <c r="M67" s="997"/>
      <c r="N67" s="998"/>
      <c r="O67" s="1046"/>
    </row>
    <row r="68" spans="1:15" s="73" customFormat="1">
      <c r="A68" s="533"/>
      <c r="B68" s="92" t="s">
        <v>19</v>
      </c>
      <c r="C68" s="68"/>
      <c r="D68" s="105"/>
      <c r="E68" s="210">
        <f t="shared" si="13"/>
        <v>0</v>
      </c>
      <c r="F68" s="107">
        <f t="shared" si="14"/>
        <v>0</v>
      </c>
      <c r="G68" s="108"/>
      <c r="H68" s="313"/>
      <c r="I68" s="166">
        <f>+'Provider Total Budget by Serv'!K230</f>
        <v>0</v>
      </c>
      <c r="J68" s="339">
        <f t="shared" si="15"/>
        <v>0</v>
      </c>
      <c r="K68" s="205"/>
      <c r="L68" s="313"/>
      <c r="M68" s="997"/>
      <c r="N68" s="998"/>
      <c r="O68" s="1046"/>
    </row>
    <row r="69" spans="1:15" s="73" customFormat="1">
      <c r="A69" s="533"/>
      <c r="B69" s="92" t="s">
        <v>13</v>
      </c>
      <c r="C69" s="68"/>
      <c r="D69" s="105"/>
      <c r="E69" s="210">
        <f t="shared" si="13"/>
        <v>0</v>
      </c>
      <c r="F69" s="107">
        <f t="shared" si="14"/>
        <v>0</v>
      </c>
      <c r="G69" s="108"/>
      <c r="H69" s="313"/>
      <c r="I69" s="166">
        <f>+'Provider Total Budget by Serv'!K235</f>
        <v>0</v>
      </c>
      <c r="J69" s="339">
        <f t="shared" si="15"/>
        <v>0</v>
      </c>
      <c r="K69" s="205"/>
      <c r="L69" s="313"/>
      <c r="M69" s="997"/>
      <c r="N69" s="998"/>
      <c r="O69" s="1046"/>
    </row>
    <row r="70" spans="1:15" s="73" customFormat="1">
      <c r="A70" s="533"/>
      <c r="B70" s="92" t="s">
        <v>14</v>
      </c>
      <c r="C70" s="68"/>
      <c r="D70" s="105"/>
      <c r="E70" s="210">
        <f t="shared" si="13"/>
        <v>0</v>
      </c>
      <c r="F70" s="107">
        <f t="shared" si="14"/>
        <v>0</v>
      </c>
      <c r="G70" s="205"/>
      <c r="H70" s="313"/>
      <c r="I70" s="166">
        <f>+'Provider Total Budget by Serv'!K240</f>
        <v>0</v>
      </c>
      <c r="J70" s="339">
        <f t="shared" si="15"/>
        <v>0</v>
      </c>
      <c r="K70" s="205"/>
      <c r="L70" s="313"/>
      <c r="M70" s="997"/>
      <c r="N70" s="998"/>
      <c r="O70" s="1046"/>
    </row>
    <row r="71" spans="1:15" s="73" customFormat="1">
      <c r="A71" s="533"/>
      <c r="B71" s="92" t="s">
        <v>15</v>
      </c>
      <c r="C71" s="68"/>
      <c r="D71" s="105"/>
      <c r="E71" s="210">
        <f t="shared" si="13"/>
        <v>0</v>
      </c>
      <c r="F71" s="107">
        <f t="shared" si="14"/>
        <v>0</v>
      </c>
      <c r="G71" s="205"/>
      <c r="H71" s="313"/>
      <c r="I71" s="166">
        <f>+'Provider Total Budget by Serv'!K245</f>
        <v>0</v>
      </c>
      <c r="J71" s="339">
        <f t="shared" si="15"/>
        <v>0</v>
      </c>
      <c r="K71" s="205"/>
      <c r="L71" s="313"/>
      <c r="M71" s="997"/>
      <c r="N71" s="998"/>
      <c r="O71" s="1046"/>
    </row>
    <row r="72" spans="1:15" s="73" customFormat="1">
      <c r="A72" s="533"/>
      <c r="B72" s="92" t="s">
        <v>16</v>
      </c>
      <c r="C72" s="68"/>
      <c r="D72" s="105"/>
      <c r="E72" s="210">
        <f t="shared" si="13"/>
        <v>0</v>
      </c>
      <c r="F72" s="107">
        <f t="shared" si="14"/>
        <v>0</v>
      </c>
      <c r="G72" s="205"/>
      <c r="H72" s="313"/>
      <c r="I72" s="166">
        <f>+'Provider Total Budget by Serv'!K250</f>
        <v>0</v>
      </c>
      <c r="J72" s="339">
        <f t="shared" si="15"/>
        <v>0</v>
      </c>
      <c r="K72" s="205"/>
      <c r="L72" s="313"/>
      <c r="M72" s="997"/>
      <c r="N72" s="998"/>
      <c r="O72" s="1046"/>
    </row>
    <row r="73" spans="1:15" s="73" customFormat="1">
      <c r="A73" s="533"/>
      <c r="B73" s="92" t="s">
        <v>24</v>
      </c>
      <c r="C73" s="68"/>
      <c r="D73" s="105"/>
      <c r="E73" s="210">
        <f t="shared" si="13"/>
        <v>0</v>
      </c>
      <c r="F73" s="107">
        <f t="shared" si="14"/>
        <v>0</v>
      </c>
      <c r="G73" s="108"/>
      <c r="H73" s="313"/>
      <c r="I73" s="166">
        <f>+'Provider Total Budget by Serv'!K255</f>
        <v>0</v>
      </c>
      <c r="J73" s="339">
        <f t="shared" si="15"/>
        <v>0</v>
      </c>
      <c r="K73" s="205"/>
      <c r="L73" s="313"/>
      <c r="M73" s="997"/>
      <c r="N73" s="998"/>
      <c r="O73" s="1046"/>
    </row>
    <row r="74" spans="1:15" s="73" customFormat="1">
      <c r="A74" s="533"/>
      <c r="B74" s="92" t="s">
        <v>25</v>
      </c>
      <c r="C74" s="68"/>
      <c r="D74" s="105"/>
      <c r="E74" s="210">
        <f t="shared" si="13"/>
        <v>0</v>
      </c>
      <c r="F74" s="107">
        <f t="shared" si="14"/>
        <v>0</v>
      </c>
      <c r="G74" s="108"/>
      <c r="H74" s="313"/>
      <c r="I74" s="166">
        <f>+'Provider Total Budget by Serv'!K260</f>
        <v>0</v>
      </c>
      <c r="J74" s="339">
        <f t="shared" si="15"/>
        <v>0</v>
      </c>
      <c r="K74" s="205"/>
      <c r="L74" s="313"/>
      <c r="M74" s="997"/>
      <c r="N74" s="998"/>
      <c r="O74" s="1046"/>
    </row>
    <row r="75" spans="1:15" s="73" customFormat="1">
      <c r="A75" s="533"/>
      <c r="B75" s="92" t="s">
        <v>109</v>
      </c>
      <c r="C75" s="68"/>
      <c r="D75" s="105"/>
      <c r="E75" s="210">
        <f t="shared" si="13"/>
        <v>0</v>
      </c>
      <c r="F75" s="107">
        <f t="shared" si="14"/>
        <v>0</v>
      </c>
      <c r="G75" s="108"/>
      <c r="H75" s="313"/>
      <c r="I75" s="166">
        <f>+'Provider Total Budget by Serv'!K265</f>
        <v>0</v>
      </c>
      <c r="J75" s="339">
        <f t="shared" si="15"/>
        <v>0</v>
      </c>
      <c r="K75" s="205"/>
      <c r="L75" s="313"/>
      <c r="M75" s="997"/>
      <c r="N75" s="998"/>
      <c r="O75" s="1046"/>
    </row>
    <row r="76" spans="1:15" s="73" customFormat="1">
      <c r="A76" s="533"/>
      <c r="B76" s="92" t="s">
        <v>17</v>
      </c>
      <c r="C76" s="68"/>
      <c r="D76" s="105"/>
      <c r="E76" s="210">
        <f t="shared" si="13"/>
        <v>0</v>
      </c>
      <c r="F76" s="107">
        <f t="shared" si="14"/>
        <v>0</v>
      </c>
      <c r="G76" s="108"/>
      <c r="H76" s="313"/>
      <c r="I76" s="166">
        <f>+'Provider Total Budget by Serv'!K270</f>
        <v>0</v>
      </c>
      <c r="J76" s="339">
        <f t="shared" si="15"/>
        <v>0</v>
      </c>
      <c r="K76" s="205"/>
      <c r="L76" s="313"/>
      <c r="M76" s="997"/>
      <c r="N76" s="998"/>
      <c r="O76" s="1046"/>
    </row>
    <row r="77" spans="1:15" s="73" customFormat="1">
      <c r="A77" s="533"/>
      <c r="B77" s="93" t="s">
        <v>108</v>
      </c>
      <c r="C77" s="69"/>
      <c r="D77" s="341"/>
      <c r="E77" s="516">
        <f t="shared" si="13"/>
        <v>0</v>
      </c>
      <c r="F77" s="343">
        <f t="shared" si="14"/>
        <v>0</v>
      </c>
      <c r="G77" s="478"/>
      <c r="H77" s="313"/>
      <c r="I77" s="167">
        <f>+'Provider Total Budget by Serv'!K275</f>
        <v>0</v>
      </c>
      <c r="J77" s="355">
        <f t="shared" si="15"/>
        <v>0</v>
      </c>
      <c r="K77" s="205"/>
      <c r="L77" s="313"/>
      <c r="M77" s="997"/>
      <c r="N77" s="998"/>
      <c r="O77" s="1046"/>
    </row>
    <row r="78" spans="1:15" s="73" customFormat="1">
      <c r="A78" s="533"/>
      <c r="B78" s="93" t="s">
        <v>1</v>
      </c>
      <c r="C78" s="75">
        <f>SUM(C64:C77)</f>
        <v>0</v>
      </c>
      <c r="D78" s="344">
        <f>SUM(D64:D77)</f>
        <v>0</v>
      </c>
      <c r="E78" s="516">
        <f t="shared" si="13"/>
        <v>0</v>
      </c>
      <c r="F78" s="345">
        <f t="shared" si="14"/>
        <v>0</v>
      </c>
      <c r="G78" s="478">
        <f>IF(AND(C78&gt;0,C$80&gt;0),+C78/C$80,0)</f>
        <v>0</v>
      </c>
      <c r="H78" s="313"/>
      <c r="I78" s="363">
        <f>SUM(I64:I77)</f>
        <v>0</v>
      </c>
      <c r="J78" s="480">
        <f t="shared" si="15"/>
        <v>0</v>
      </c>
      <c r="K78" s="517">
        <f>IF(AND(I78&gt;0,I$80&gt;0),+I78/I$80,0)</f>
        <v>0</v>
      </c>
      <c r="L78" s="313"/>
      <c r="M78" s="999"/>
      <c r="N78" s="1000"/>
      <c r="O78" s="1046"/>
    </row>
    <row r="79" spans="1:15" s="73" customFormat="1" ht="13">
      <c r="A79" s="532"/>
      <c r="B79" s="727" t="s">
        <v>1</v>
      </c>
      <c r="C79" s="727"/>
      <c r="D79" s="727"/>
      <c r="E79" s="727"/>
      <c r="F79" s="727"/>
      <c r="G79" s="792"/>
      <c r="H79" s="313"/>
      <c r="I79" s="610"/>
      <c r="J79" s="377"/>
      <c r="K79" s="608"/>
      <c r="L79" s="323"/>
      <c r="M79" s="792"/>
      <c r="N79" s="726"/>
      <c r="O79" s="1046"/>
    </row>
    <row r="80" spans="1:15" s="73" customFormat="1">
      <c r="A80" s="533"/>
      <c r="B80" s="115" t="s">
        <v>28</v>
      </c>
      <c r="C80" s="77">
        <f>+C16+C22+C27+C35+C41+C52+C62+C78</f>
        <v>0</v>
      </c>
      <c r="D80" s="77">
        <f>+D16+D22+D27+D35+D41+D52+D62+D78</f>
        <v>0</v>
      </c>
      <c r="E80" s="116">
        <f>+D80-C80</f>
        <v>0</v>
      </c>
      <c r="F80" s="157">
        <f>IF(+C80+D80=0,0,(IF(AND(+C80=0,D80&gt;0),1,(IF(AND(+C80&gt;0,D80=0),-1,+C80/+D80-1)))))</f>
        <v>0</v>
      </c>
      <c r="G80" s="211">
        <f>IF(AND(C80&gt;0,C$80&gt;0),+C80/C$80,0)</f>
        <v>0</v>
      </c>
      <c r="H80" s="313"/>
      <c r="I80" s="116">
        <f>+I16+I27+I41+I52+I62+I78+I22+I35</f>
        <v>0</v>
      </c>
      <c r="J80" s="480">
        <f>IF(I80+C80=0,0,(IF(AND(I80=0,C80&gt;0),-1,(IF(AND(I80&gt;0,C80=0),1,+I80/C80-1)))))</f>
        <v>0</v>
      </c>
      <c r="K80" s="517">
        <f>IF(AND(I80&gt;0,I$80&gt;0),+I80/I$80,0)</f>
        <v>0</v>
      </c>
      <c r="L80" s="313"/>
      <c r="M80" s="1035"/>
      <c r="N80" s="1009"/>
      <c r="O80" s="1046"/>
    </row>
    <row r="81" spans="1:15" s="73" customFormat="1" ht="13">
      <c r="A81" s="533"/>
      <c r="B81" s="115" t="s">
        <v>297</v>
      </c>
      <c r="C81" s="95"/>
      <c r="D81" s="207"/>
      <c r="E81" s="210">
        <f>+D81-C81</f>
        <v>0</v>
      </c>
      <c r="F81" s="157">
        <f>IF(+C81+D81=0,0,(IF(AND(+C81=0,D81&gt;0),1,(IF(AND(+C81&gt;0,D81=0),-1,+D81/+C81-1)))))</f>
        <v>0</v>
      </c>
      <c r="G81" s="486"/>
      <c r="H81" s="313"/>
      <c r="I81" s="1038"/>
      <c r="J81" s="831"/>
      <c r="K81" s="831"/>
      <c r="L81" s="323"/>
      <c r="M81" s="792"/>
      <c r="N81" s="726"/>
      <c r="O81" s="1047"/>
    </row>
    <row r="82" spans="1:15" s="73" customFormat="1">
      <c r="A82" s="506"/>
      <c r="B82" s="115" t="s">
        <v>296</v>
      </c>
      <c r="C82" s="77">
        <f>IF(C81=0,0,+C80/C81)</f>
        <v>0</v>
      </c>
      <c r="D82" s="77">
        <f>IF(D81=0,0,+D80/D81)</f>
        <v>0</v>
      </c>
      <c r="E82" s="116">
        <f>IF(E81=0,0,+E80/E81)</f>
        <v>0</v>
      </c>
      <c r="F82" s="157">
        <f>IF(+C82+D82=0,0,(IF(AND(+C82=0,D82&gt;0),1,(IF(AND(+C82&gt;0,D82=0),-1,+D82/+C82-1)))))</f>
        <v>0</v>
      </c>
      <c r="G82" s="125"/>
      <c r="H82" s="313"/>
      <c r="I82" s="519" t="s">
        <v>312</v>
      </c>
      <c r="J82" s="114"/>
      <c r="K82" s="520" t="s">
        <v>276</v>
      </c>
      <c r="L82" s="313"/>
      <c r="M82" s="1035"/>
      <c r="N82" s="1009"/>
      <c r="O82" s="537"/>
    </row>
    <row r="83" spans="1:15" s="73" customFormat="1">
      <c r="A83" s="532"/>
      <c r="B83" s="115" t="s">
        <v>295</v>
      </c>
      <c r="C83" s="114"/>
      <c r="D83" s="208"/>
      <c r="E83" s="489"/>
      <c r="F83" s="490"/>
      <c r="G83" s="125"/>
      <c r="H83" s="491"/>
      <c r="I83" s="209">
        <f>+G98</f>
        <v>0</v>
      </c>
      <c r="J83" s="492"/>
      <c r="K83" s="521" t="str">
        <f>IF(I83=0,"",+I80/I83)</f>
        <v/>
      </c>
      <c r="L83" s="315"/>
      <c r="M83" s="1035"/>
      <c r="N83" s="1009"/>
    </row>
    <row r="84" spans="1:15" s="73" customFormat="1">
      <c r="A84" s="532"/>
      <c r="B84" s="263"/>
      <c r="C84" s="377"/>
      <c r="D84" s="377"/>
      <c r="E84" s="377"/>
      <c r="F84" s="378"/>
      <c r="G84" s="125"/>
      <c r="H84" s="70"/>
      <c r="I84" s="125"/>
      <c r="J84" s="125"/>
      <c r="K84" s="70"/>
      <c r="L84" s="70"/>
      <c r="M84" s="70"/>
      <c r="N84" s="70"/>
    </row>
    <row r="85" spans="1:15" s="73" customFormat="1" ht="13">
      <c r="A85" s="532"/>
      <c r="B85" s="263"/>
      <c r="C85" s="113"/>
      <c r="D85" s="113"/>
      <c r="E85" s="500"/>
      <c r="F85" s="381"/>
      <c r="G85" s="500"/>
      <c r="H85" s="112"/>
      <c r="I85" s="125"/>
      <c r="J85" s="125"/>
      <c r="K85" s="112"/>
      <c r="L85" s="112"/>
      <c r="M85" s="112"/>
      <c r="N85" s="70"/>
    </row>
    <row r="86" spans="1:15" s="73" customFormat="1" ht="26">
      <c r="A86" s="506"/>
      <c r="B86" s="1036" t="s">
        <v>66</v>
      </c>
      <c r="C86" s="1037"/>
      <c r="D86" s="1037"/>
      <c r="E86" s="1037"/>
      <c r="F86" s="1037"/>
      <c r="G86" s="522" t="s">
        <v>294</v>
      </c>
      <c r="H86" s="132"/>
      <c r="I86" s="498" t="s">
        <v>69</v>
      </c>
      <c r="J86" s="523" t="s">
        <v>68</v>
      </c>
      <c r="N86" s="70"/>
    </row>
    <row r="87" spans="1:15" s="73" customFormat="1" ht="12.75" customHeight="1">
      <c r="A87" s="506"/>
      <c r="B87" s="783" t="s">
        <v>434</v>
      </c>
      <c r="C87" s="784"/>
      <c r="D87" s="784"/>
      <c r="E87" s="784"/>
      <c r="F87" s="784"/>
      <c r="G87" s="524"/>
      <c r="H87" s="70"/>
      <c r="I87" s="206">
        <f>IF(G87=0,0,'Unit Rate Calculation Transp'!L24)</f>
        <v>0</v>
      </c>
      <c r="J87" s="371">
        <f t="shared" ref="J87:J92" si="16">+G87*I87</f>
        <v>0</v>
      </c>
      <c r="L87" s="70"/>
      <c r="M87" s="70"/>
      <c r="N87" s="70"/>
      <c r="O87" s="70"/>
    </row>
    <row r="88" spans="1:15" s="73" customFormat="1" ht="12.75" customHeight="1">
      <c r="A88" s="506"/>
      <c r="B88" s="783" t="s">
        <v>435</v>
      </c>
      <c r="C88" s="784"/>
      <c r="D88" s="784"/>
      <c r="E88" s="784"/>
      <c r="F88" s="784"/>
      <c r="G88" s="524"/>
      <c r="H88" s="70"/>
      <c r="I88" s="206">
        <f>IF(G88=0,0,'Unit Rate Calculation Transp'!$L$31)</f>
        <v>0</v>
      </c>
      <c r="J88" s="371">
        <f t="shared" si="16"/>
        <v>0</v>
      </c>
      <c r="L88" s="70"/>
      <c r="M88" s="70"/>
      <c r="N88" s="70"/>
      <c r="O88" s="70"/>
    </row>
    <row r="89" spans="1:15" s="73" customFormat="1" ht="12.75" customHeight="1">
      <c r="A89" s="506"/>
      <c r="B89" s="783" t="s">
        <v>436</v>
      </c>
      <c r="C89" s="784"/>
      <c r="D89" s="784"/>
      <c r="E89" s="784"/>
      <c r="F89" s="784"/>
      <c r="G89" s="524"/>
      <c r="H89" s="70"/>
      <c r="I89" s="206">
        <f>IF(G89=0,0,'Unit Rate Calculation Transp'!$L$16)</f>
        <v>0</v>
      </c>
      <c r="J89" s="371">
        <f t="shared" si="16"/>
        <v>0</v>
      </c>
      <c r="L89" s="70"/>
      <c r="M89" s="70"/>
      <c r="N89" s="70"/>
      <c r="O89" s="70"/>
    </row>
    <row r="90" spans="1:15" s="73" customFormat="1" ht="12.75" customHeight="1">
      <c r="A90" s="506"/>
      <c r="B90" s="841" t="s">
        <v>274</v>
      </c>
      <c r="C90" s="841"/>
      <c r="D90" s="841"/>
      <c r="E90" s="841"/>
      <c r="F90" s="799"/>
      <c r="G90" s="524"/>
      <c r="H90" s="70"/>
      <c r="I90" s="206">
        <f>IF(G90=0,0,'Unit Rate Calculation Transp'!$L$16)</f>
        <v>0</v>
      </c>
      <c r="J90" s="371">
        <f t="shared" si="16"/>
        <v>0</v>
      </c>
      <c r="L90" s="70"/>
      <c r="M90" s="70"/>
      <c r="N90" s="70"/>
      <c r="O90" s="70"/>
    </row>
    <row r="91" spans="1:15" s="73" customFormat="1" ht="12.75" customHeight="1">
      <c r="A91" s="506"/>
      <c r="B91" s="799" t="s">
        <v>273</v>
      </c>
      <c r="C91" s="784"/>
      <c r="D91" s="784"/>
      <c r="E91" s="784"/>
      <c r="F91" s="784"/>
      <c r="G91" s="525"/>
      <c r="H91" s="70"/>
      <c r="I91" s="206">
        <f>IF(G91=0,0,'Unit Rate Calculation Transp'!$L$16)</f>
        <v>0</v>
      </c>
      <c r="J91" s="371">
        <f t="shared" si="16"/>
        <v>0</v>
      </c>
      <c r="L91" s="70"/>
      <c r="M91" s="70"/>
      <c r="N91" s="70"/>
      <c r="O91" s="70"/>
    </row>
    <row r="92" spans="1:15" s="73" customFormat="1" ht="12.75" customHeight="1">
      <c r="A92" s="506"/>
      <c r="B92" s="799" t="s">
        <v>272</v>
      </c>
      <c r="C92" s="784"/>
      <c r="D92" s="784"/>
      <c r="E92" s="784"/>
      <c r="F92" s="784"/>
      <c r="G92" s="525"/>
      <c r="H92" s="70"/>
      <c r="I92" s="206">
        <f>IF(G92=0,0,'Unit Rate Calculation Transp'!$L$16)</f>
        <v>0</v>
      </c>
      <c r="J92" s="371">
        <f t="shared" si="16"/>
        <v>0</v>
      </c>
      <c r="L92" s="70"/>
      <c r="M92" s="70"/>
      <c r="N92" s="70"/>
      <c r="O92" s="70"/>
    </row>
    <row r="93" spans="1:15" s="73" customFormat="1" ht="12.75" customHeight="1">
      <c r="A93" s="506"/>
      <c r="B93" s="799" t="s">
        <v>271</v>
      </c>
      <c r="C93" s="784"/>
      <c r="D93" s="784"/>
      <c r="E93" s="784"/>
      <c r="F93" s="784"/>
      <c r="G93" s="396" t="s">
        <v>72</v>
      </c>
      <c r="H93" s="70"/>
      <c r="I93" s="206">
        <f>IF(G93=0,0,'Unit Rate Calculation Transp'!$L$23)</f>
        <v>0</v>
      </c>
      <c r="J93" s="371">
        <f>+G87*I93</f>
        <v>0</v>
      </c>
      <c r="L93" s="70"/>
      <c r="M93" s="70"/>
      <c r="N93" s="70"/>
      <c r="O93" s="70"/>
    </row>
    <row r="94" spans="1:15" s="73" customFormat="1" ht="12.75" customHeight="1">
      <c r="A94" s="506"/>
      <c r="B94" s="799" t="s">
        <v>270</v>
      </c>
      <c r="C94" s="784"/>
      <c r="D94" s="784"/>
      <c r="E94" s="784"/>
      <c r="F94" s="784"/>
      <c r="G94" s="396" t="s">
        <v>72</v>
      </c>
      <c r="H94" s="70"/>
      <c r="I94" s="206">
        <f>IF(G94=0,0,'Unit Rate Calculation Transp'!$L$30)</f>
        <v>0</v>
      </c>
      <c r="J94" s="371">
        <f>+G88*I94</f>
        <v>0</v>
      </c>
      <c r="L94" s="70"/>
      <c r="M94" s="70"/>
      <c r="N94" s="70"/>
      <c r="O94" s="70"/>
    </row>
    <row r="95" spans="1:15" s="73" customFormat="1" ht="12.75" customHeight="1">
      <c r="A95" s="506"/>
      <c r="B95" s="1039" t="s">
        <v>263</v>
      </c>
      <c r="C95" s="1039"/>
      <c r="D95" s="1039"/>
      <c r="E95" s="1039"/>
      <c r="F95" s="953"/>
      <c r="G95" s="524"/>
      <c r="H95" s="70"/>
      <c r="I95" s="206">
        <f>IF(G95=0,0,'Unit Rate Calculation Transp'!$L$16)</f>
        <v>0</v>
      </c>
      <c r="J95" s="371">
        <f>+G95*I95</f>
        <v>0</v>
      </c>
      <c r="L95" s="70"/>
      <c r="M95" s="70"/>
      <c r="N95" s="70"/>
      <c r="O95" s="70"/>
    </row>
    <row r="96" spans="1:15" s="73" customFormat="1" ht="12.75" customHeight="1">
      <c r="A96" s="506"/>
      <c r="B96" s="1039" t="s">
        <v>269</v>
      </c>
      <c r="C96" s="1039"/>
      <c r="D96" s="1039"/>
      <c r="E96" s="1039"/>
      <c r="F96" s="953"/>
      <c r="G96" s="524"/>
      <c r="H96" s="70"/>
      <c r="I96" s="206">
        <f>IF(G96=0,0,'Unit Rate Calculation Transp'!$L$16)</f>
        <v>0</v>
      </c>
      <c r="J96" s="371">
        <f>+G96*I96</f>
        <v>0</v>
      </c>
      <c r="L96" s="70"/>
      <c r="M96" s="70"/>
      <c r="N96" s="70"/>
      <c r="O96" s="70"/>
    </row>
    <row r="97" spans="1:15" s="73" customFormat="1" ht="12.75" customHeight="1">
      <c r="A97" s="506"/>
      <c r="B97" s="1039" t="s">
        <v>268</v>
      </c>
      <c r="C97" s="1039"/>
      <c r="D97" s="1039"/>
      <c r="E97" s="1039"/>
      <c r="F97" s="953"/>
      <c r="G97" s="524"/>
      <c r="H97" s="70"/>
      <c r="I97" s="206">
        <f>IF(G97=0,0,'Unit Rate Calculation Transp'!$L$16)</f>
        <v>0</v>
      </c>
      <c r="J97" s="371">
        <f>+G97*I97</f>
        <v>0</v>
      </c>
      <c r="L97" s="70"/>
      <c r="M97" s="70"/>
      <c r="N97" s="70"/>
      <c r="O97" s="70"/>
    </row>
    <row r="98" spans="1:15" s="73" customFormat="1" ht="13">
      <c r="A98" s="535"/>
      <c r="B98" s="792" t="s">
        <v>293</v>
      </c>
      <c r="C98" s="796"/>
      <c r="D98" s="796"/>
      <c r="E98" s="796"/>
      <c r="F98" s="796"/>
      <c r="G98" s="526">
        <f>SUM(G87:G97)</f>
        <v>0</v>
      </c>
      <c r="H98" s="84"/>
      <c r="I98" s="206" t="s">
        <v>262</v>
      </c>
      <c r="J98" s="371">
        <f>SUM(J87:J97)</f>
        <v>0</v>
      </c>
      <c r="L98" s="156"/>
      <c r="M98" s="84"/>
      <c r="N98" s="84"/>
      <c r="O98" s="84"/>
    </row>
    <row r="99" spans="1:15" s="73" customFormat="1" ht="12.75" customHeight="1">
      <c r="A99" s="112"/>
      <c r="B99" s="112"/>
      <c r="C99" s="156"/>
      <c r="D99" s="156"/>
      <c r="E99" s="499"/>
      <c r="F99" s="156"/>
      <c r="G99" s="499"/>
      <c r="H99" s="401"/>
      <c r="I99" s="125"/>
      <c r="K99" s="401"/>
      <c r="L99" s="401"/>
      <c r="M99" s="401"/>
      <c r="O99" s="84"/>
    </row>
    <row r="100" spans="1:15" s="73" customFormat="1" ht="12.75" customHeight="1">
      <c r="A100" s="112"/>
      <c r="B100" s="112"/>
      <c r="C100" s="156"/>
      <c r="D100" s="156"/>
      <c r="E100" s="499"/>
      <c r="F100" s="156"/>
      <c r="G100" s="499"/>
      <c r="H100" s="401"/>
      <c r="I100" s="125"/>
      <c r="K100" s="401"/>
      <c r="L100" s="401"/>
      <c r="M100" s="401"/>
      <c r="O100" s="84"/>
    </row>
    <row r="101" spans="1:15" s="73" customFormat="1" ht="12.75" customHeight="1">
      <c r="A101" s="112"/>
      <c r="B101" s="112"/>
      <c r="C101" s="112"/>
      <c r="D101" s="112"/>
      <c r="E101" s="527"/>
      <c r="F101" s="112"/>
      <c r="G101" s="125"/>
      <c r="H101" s="401"/>
      <c r="I101" s="125"/>
      <c r="K101" s="401"/>
      <c r="L101" s="401"/>
      <c r="M101" s="401"/>
      <c r="O101" s="84"/>
    </row>
    <row r="102" spans="1:15">
      <c r="J102" s="73"/>
    </row>
    <row r="103" spans="1:15">
      <c r="J103" s="73"/>
    </row>
    <row r="104" spans="1:15">
      <c r="J104" s="125"/>
    </row>
    <row r="105" spans="1:15">
      <c r="J105" s="125"/>
    </row>
    <row r="106" spans="1:15">
      <c r="J106" s="113"/>
    </row>
  </sheetData>
  <sheetProtection formatCells="0" formatColumns="0" formatRows="0"/>
  <customSheetViews>
    <customSheetView guid="{DDFE7685-90A4-42DC-AFD9-89B5EC30420E}" scale="60" showPageBreaks="1" fitToPage="1" printArea="1">
      <selection activeCell="F75" sqref="F75"/>
      <pageMargins left="0.7" right="0.7" top="0.75" bottom="0.75" header="0.3" footer="0.3"/>
      <pageSetup paperSize="5" scale="15" fitToHeight="4" orientation="landscape" r:id="rId1"/>
    </customSheetView>
  </customSheetViews>
  <mergeCells count="74">
    <mergeCell ref="M12:N12"/>
    <mergeCell ref="I8:K8"/>
    <mergeCell ref="M82:N82"/>
    <mergeCell ref="H2:H4"/>
    <mergeCell ref="I2:N4"/>
    <mergeCell ref="I13:K13"/>
    <mergeCell ref="M80:N80"/>
    <mergeCell ref="M79:N79"/>
    <mergeCell ref="M64:N78"/>
    <mergeCell ref="J9:J12"/>
    <mergeCell ref="K9:K12"/>
    <mergeCell ref="M53:N53"/>
    <mergeCell ref="M63:N63"/>
    <mergeCell ref="M54:N62"/>
    <mergeCell ref="O1:O81"/>
    <mergeCell ref="M6:N7"/>
    <mergeCell ref="M8:N8"/>
    <mergeCell ref="M17:N17"/>
    <mergeCell ref="M14:N16"/>
    <mergeCell ref="M81:N81"/>
    <mergeCell ref="M43:N52"/>
    <mergeCell ref="M36:N36"/>
    <mergeCell ref="M29:N35"/>
    <mergeCell ref="M37:N41"/>
    <mergeCell ref="M23:N23"/>
    <mergeCell ref="B1:N1"/>
    <mergeCell ref="B23:G23"/>
    <mergeCell ref="B28:G28"/>
    <mergeCell ref="I5:K5"/>
    <mergeCell ref="I6:K7"/>
    <mergeCell ref="B36:G36"/>
    <mergeCell ref="B42:G42"/>
    <mergeCell ref="M18:N22"/>
    <mergeCell ref="M24:N27"/>
    <mergeCell ref="E9:E12"/>
    <mergeCell ref="F9:F12"/>
    <mergeCell ref="G9:G12"/>
    <mergeCell ref="B13:G13"/>
    <mergeCell ref="B17:G17"/>
    <mergeCell ref="B9:B12"/>
    <mergeCell ref="C9:C12"/>
    <mergeCell ref="D9:D12"/>
    <mergeCell ref="M42:N42"/>
    <mergeCell ref="M13:N13"/>
    <mergeCell ref="M28:N28"/>
    <mergeCell ref="I9:I12"/>
    <mergeCell ref="B53:G53"/>
    <mergeCell ref="I81:K81"/>
    <mergeCell ref="B98:F98"/>
    <mergeCell ref="B95:F95"/>
    <mergeCell ref="B97:F97"/>
    <mergeCell ref="B94:F94"/>
    <mergeCell ref="B96:F96"/>
    <mergeCell ref="B92:F92"/>
    <mergeCell ref="B93:F93"/>
    <mergeCell ref="B63:G63"/>
    <mergeCell ref="B79:G79"/>
    <mergeCell ref="M83:N83"/>
    <mergeCell ref="B91:F91"/>
    <mergeCell ref="B90:F90"/>
    <mergeCell ref="B89:F89"/>
    <mergeCell ref="B87:F87"/>
    <mergeCell ref="B86:F86"/>
    <mergeCell ref="B88:F88"/>
    <mergeCell ref="C2:G2"/>
    <mergeCell ref="C3:G3"/>
    <mergeCell ref="C4:G4"/>
    <mergeCell ref="B8:G8"/>
    <mergeCell ref="B5:C5"/>
    <mergeCell ref="D5:E5"/>
    <mergeCell ref="F5:G5"/>
    <mergeCell ref="B6:B7"/>
    <mergeCell ref="C6:C7"/>
    <mergeCell ref="D6:G7"/>
  </mergeCells>
  <dataValidations count="5">
    <dataValidation type="whole" allowBlank="1" showInputMessage="1" showErrorMessage="1" sqref="G97 G87:G92" xr:uid="{00000000-0002-0000-1000-000000000000}">
      <formula1>0</formula1>
      <formula2>15000000</formula2>
    </dataValidation>
    <dataValidation type="decimal" allowBlank="1" showInputMessage="1" showErrorMessage="1" sqref="C81:D81 D83" xr:uid="{00000000-0002-0000-1000-000001000000}">
      <formula1>0</formula1>
      <formula2>9999999999.99</formula2>
    </dataValidation>
    <dataValidation type="decimal" allowBlank="1" showInputMessage="1" showErrorMessage="1" sqref="C29:D34 C64:D77 C37:D40 C43:D51 C54:D61 C24:D26 C20:C21 I20:J21 I24:I26 I29:I34 I37:I40 I43:I51 I54:I61 I64:I77" xr:uid="{00000000-0002-0000-1000-000002000000}">
      <formula1>0</formula1>
      <formula2>15000000</formula2>
    </dataValidation>
    <dataValidation type="decimal" allowBlank="1" showInputMessage="1" showErrorMessage="1" sqref="I14:I15 C14:D15 D18:D21 C18:C19 I18:J19" xr:uid="{00000000-0002-0000-1000-000003000000}">
      <formula1>0</formula1>
      <formula2>150000000</formula2>
    </dataValidation>
    <dataValidation allowBlank="1" showErrorMessage="1" promptTitle="Explanation of Variance" prompt="If an explanations was entered on the &quot;Home Delivered Meal Budget&quot; this cost center was updated with the same explanation. If this explanation is not correct for this service and cost center, delete the explanation and enter the correct information. " sqref="M64:N78 M14:N16 M18:N22 M24:N27 M29:N35 M37:N41 M43:N52 M54:N62" xr:uid="{00000000-0002-0000-1000-000004000000}"/>
  </dataValidations>
  <pageMargins left="0.7" right="0.7" top="0.75" bottom="0.75" header="0.3" footer="0.3"/>
  <pageSetup paperSize="5" scale="64" fitToHeight="4"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tabColor rgb="FF0070C0"/>
    <pageSetUpPr fitToPage="1"/>
  </sheetPr>
  <dimension ref="B1:M118"/>
  <sheetViews>
    <sheetView showGridLines="0" topLeftCell="A27" zoomScale="80" zoomScaleNormal="80" workbookViewId="0">
      <selection activeCell="U39" sqref="U39"/>
    </sheetView>
  </sheetViews>
  <sheetFormatPr defaultColWidth="9.1796875" defaultRowHeight="12.5"/>
  <cols>
    <col min="1" max="1" width="2.81640625" customWidth="1"/>
    <col min="2" max="2" width="3.81640625" customWidth="1"/>
    <col min="3" max="3" width="2.54296875" customWidth="1"/>
    <col min="4" max="4" width="21.1796875" customWidth="1"/>
    <col min="5" max="5" width="9.453125" customWidth="1"/>
    <col min="6" max="6" width="14.26953125" customWidth="1"/>
    <col min="7" max="7" width="13.7265625" customWidth="1"/>
    <col min="8" max="8" width="14.81640625" customWidth="1"/>
    <col min="9" max="9" width="12.1796875" customWidth="1"/>
    <col min="10" max="10" width="9.453125" customWidth="1"/>
    <col min="11" max="11" width="3.453125" customWidth="1"/>
    <col min="12" max="12" width="14.81640625" customWidth="1"/>
    <col min="13" max="14" width="3.26953125" customWidth="1"/>
  </cols>
  <sheetData>
    <row r="1" spans="3:12">
      <c r="D1" s="977">
        <f ca="1">NOW()</f>
        <v>45380.323058564813</v>
      </c>
      <c r="E1" s="977"/>
    </row>
    <row r="2" spans="3:12">
      <c r="D2" s="273" t="s">
        <v>26</v>
      </c>
      <c r="E2" s="779">
        <f>+'Provider Information'!F6</f>
        <v>0</v>
      </c>
      <c r="F2" s="780"/>
      <c r="G2" s="780"/>
      <c r="H2" s="780"/>
      <c r="I2" s="780"/>
      <c r="J2" s="9"/>
    </row>
    <row r="3" spans="3:12">
      <c r="D3" s="572" t="s">
        <v>388</v>
      </c>
      <c r="E3" s="779">
        <f>+'Provider Information'!D21</f>
        <v>0</v>
      </c>
      <c r="F3" s="779"/>
      <c r="G3" s="779"/>
      <c r="H3" s="779"/>
      <c r="I3" s="779"/>
      <c r="J3" s="779"/>
      <c r="K3" s="1"/>
      <c r="L3" s="1"/>
    </row>
    <row r="4" spans="3:12" ht="15.5">
      <c r="C4" s="1053" t="str">
        <f>+'Provider Total Budget by Serv'!K4</f>
        <v>Transportation</v>
      </c>
      <c r="D4" s="1052"/>
      <c r="E4" s="1052"/>
      <c r="F4" s="1052"/>
      <c r="G4" s="1052"/>
      <c r="H4" s="1052"/>
      <c r="I4" s="1052"/>
      <c r="J4" s="1052"/>
      <c r="K4" s="1052"/>
      <c r="L4" s="1052"/>
    </row>
    <row r="5" spans="3:12" ht="15.5">
      <c r="C5" s="1052" t="s">
        <v>292</v>
      </c>
      <c r="D5" s="1052"/>
      <c r="E5" s="1052"/>
      <c r="F5" s="1052"/>
      <c r="G5" s="1052"/>
      <c r="H5" s="1052"/>
      <c r="I5" s="1052"/>
      <c r="J5" s="1052"/>
      <c r="K5" s="1052"/>
      <c r="L5" s="1052"/>
    </row>
    <row r="6" spans="3:12">
      <c r="C6" s="703"/>
      <c r="D6" s="703"/>
      <c r="E6" s="703"/>
      <c r="F6" s="703"/>
      <c r="G6" s="703"/>
      <c r="H6" s="703"/>
      <c r="I6" s="703"/>
      <c r="J6" s="703"/>
      <c r="K6" s="703"/>
      <c r="L6" s="703"/>
    </row>
    <row r="7" spans="3:12">
      <c r="C7" s="872" t="s">
        <v>291</v>
      </c>
      <c r="D7" s="872"/>
      <c r="E7" s="872"/>
      <c r="F7" s="872"/>
      <c r="G7" s="872"/>
      <c r="H7" s="872"/>
      <c r="I7" s="872"/>
      <c r="J7" s="872"/>
      <c r="K7" s="3" t="s">
        <v>0</v>
      </c>
      <c r="L7" s="4">
        <f>+'Transportation Budget'!I80</f>
        <v>0</v>
      </c>
    </row>
    <row r="8" spans="3:12">
      <c r="C8" s="703"/>
      <c r="D8" s="703"/>
      <c r="E8" s="703"/>
      <c r="F8" s="703"/>
      <c r="G8" s="703"/>
      <c r="H8" s="703"/>
      <c r="I8" s="703"/>
      <c r="J8" s="703"/>
      <c r="K8" s="703"/>
      <c r="L8" s="703"/>
    </row>
    <row r="9" spans="3:12">
      <c r="C9" s="872" t="s">
        <v>290</v>
      </c>
      <c r="D9" s="872"/>
      <c r="E9" s="872"/>
      <c r="F9" s="872"/>
      <c r="G9" s="872"/>
      <c r="H9" s="872"/>
      <c r="I9" s="872"/>
      <c r="J9" s="872"/>
      <c r="K9" s="872"/>
      <c r="L9" s="872"/>
    </row>
    <row r="10" spans="3:12" ht="25">
      <c r="C10" s="1023" t="str">
        <f>+'Transportation Budget'!B87</f>
        <v>HHS OAAA - 10 % Match Required</v>
      </c>
      <c r="D10" s="1023"/>
      <c r="E10" s="121">
        <f>+'Transportation Budget'!G87</f>
        <v>0</v>
      </c>
      <c r="F10" s="66" t="str">
        <f>+'Transportation Budget'!B90</f>
        <v xml:space="preserve">Program Income </v>
      </c>
      <c r="G10" s="121">
        <f>+'Transportation Budget'!G90</f>
        <v>0</v>
      </c>
      <c r="H10" s="66" t="str">
        <f>+'Transportation Budget'!B95</f>
        <v>Other Sources 6</v>
      </c>
      <c r="I10" s="121">
        <f>+'Transportation Budget'!G95</f>
        <v>0</v>
      </c>
      <c r="J10" s="1"/>
      <c r="K10" s="1"/>
      <c r="L10" s="1"/>
    </row>
    <row r="11" spans="3:12" ht="25">
      <c r="C11" s="1024" t="str">
        <f>+'Transportation Budget'!B88</f>
        <v>HHS OAAA - 25 % Match Required</v>
      </c>
      <c r="D11" s="1024"/>
      <c r="E11" s="121">
        <f>+'Transportation Budget'!G88</f>
        <v>0</v>
      </c>
      <c r="F11" s="66" t="str">
        <f>+'Transportation Budget'!B91</f>
        <v>Local Funds - Eligible Trips</v>
      </c>
      <c r="G11" s="121">
        <f>+'Transportation Budget'!G91</f>
        <v>0</v>
      </c>
      <c r="H11" s="66" t="str">
        <f>+'Transportation Budget'!B96</f>
        <v>Other Sources 7</v>
      </c>
      <c r="I11" s="121">
        <f>+'Transportation Budget'!G96</f>
        <v>0</v>
      </c>
      <c r="J11" s="870"/>
      <c r="K11" s="870"/>
      <c r="L11" s="870"/>
    </row>
    <row r="12" spans="3:12" ht="37.5">
      <c r="C12" s="1024" t="str">
        <f>+'Transportation Budget'!B89</f>
        <v xml:space="preserve">HHS OAAA - Full Unit Rate </v>
      </c>
      <c r="D12" s="1024"/>
      <c r="E12" s="121">
        <f>+'Transportation Budget'!G89</f>
        <v>0</v>
      </c>
      <c r="F12" s="66" t="str">
        <f>+'Transportation Budget'!B92</f>
        <v>Other Funds - Non-Eligible Trips</v>
      </c>
      <c r="G12" s="121">
        <f>+'Transportation Budget'!G92</f>
        <v>0</v>
      </c>
      <c r="H12" s="66" t="str">
        <f>+'Transportation Budget'!B97</f>
        <v>Other Sources 8</v>
      </c>
      <c r="I12" s="121">
        <f>+'Transportation Budget'!G97</f>
        <v>0</v>
      </c>
      <c r="J12" s="11"/>
      <c r="K12" s="36" t="s">
        <v>2</v>
      </c>
      <c r="L12" s="6">
        <f>+E10+E11+E12+G10+G11+G12+I10+I11+I12</f>
        <v>0</v>
      </c>
    </row>
    <row r="13" spans="3:12" ht="9.75" customHeight="1">
      <c r="C13" s="703"/>
      <c r="D13" s="703"/>
      <c r="E13" s="703"/>
      <c r="F13" s="703"/>
      <c r="G13" s="703"/>
      <c r="H13" s="703"/>
      <c r="I13" s="703"/>
      <c r="J13" s="703"/>
      <c r="K13" s="703"/>
      <c r="L13" s="703"/>
    </row>
    <row r="14" spans="3:12" ht="13">
      <c r="C14" s="876"/>
      <c r="D14" s="876"/>
      <c r="E14" s="876"/>
      <c r="F14" s="876"/>
      <c r="G14" s="876"/>
      <c r="H14" s="876"/>
      <c r="I14" s="876"/>
      <c r="J14" s="876"/>
      <c r="K14" s="876"/>
      <c r="L14" s="876"/>
    </row>
    <row r="15" spans="3:12" ht="6.75" customHeight="1">
      <c r="C15" s="703"/>
      <c r="D15" s="703"/>
      <c r="E15" s="703"/>
      <c r="F15" s="703"/>
      <c r="G15" s="703"/>
      <c r="H15" s="703"/>
      <c r="I15" s="703"/>
      <c r="J15" s="703"/>
      <c r="K15" s="703"/>
      <c r="L15" s="703"/>
    </row>
    <row r="16" spans="3:12">
      <c r="C16" s="872" t="s">
        <v>289</v>
      </c>
      <c r="D16" s="872"/>
      <c r="E16" s="872"/>
      <c r="F16" s="872"/>
      <c r="G16" s="872"/>
      <c r="H16" s="872"/>
      <c r="I16" s="872"/>
      <c r="J16" s="872"/>
      <c r="K16" s="3" t="s">
        <v>3</v>
      </c>
      <c r="L16" s="4">
        <f>ROUND(IF(L12=0,0,+L7/L12),2)</f>
        <v>0</v>
      </c>
    </row>
    <row r="17" spans="2:13">
      <c r="C17" s="703"/>
      <c r="D17" s="703"/>
      <c r="E17" s="703"/>
      <c r="F17" s="703"/>
      <c r="G17" s="703"/>
      <c r="H17" s="703"/>
      <c r="I17" s="703"/>
      <c r="J17" s="703"/>
      <c r="K17" s="703"/>
      <c r="L17" s="703"/>
    </row>
    <row r="18" spans="2:13">
      <c r="C18" s="1027" t="s">
        <v>288</v>
      </c>
      <c r="D18" s="1027"/>
      <c r="E18" s="1027"/>
      <c r="F18" s="1027"/>
      <c r="G18" s="1027"/>
      <c r="H18" s="1027"/>
      <c r="I18" s="1027"/>
      <c r="J18" s="1027"/>
      <c r="K18" s="1027"/>
      <c r="L18" s="1027"/>
    </row>
    <row r="19" spans="2:13">
      <c r="C19" s="143"/>
      <c r="D19" s="143"/>
      <c r="E19" s="143"/>
      <c r="F19" s="143"/>
      <c r="G19" s="143"/>
      <c r="H19" s="143"/>
      <c r="I19" s="143"/>
      <c r="J19" s="143"/>
      <c r="K19" s="143"/>
      <c r="L19" s="143"/>
    </row>
    <row r="20" spans="2:13">
      <c r="B20" s="141"/>
      <c r="C20" s="877"/>
      <c r="D20" s="877"/>
      <c r="E20" s="877"/>
      <c r="F20" s="877"/>
      <c r="G20" s="877"/>
      <c r="H20" s="877"/>
      <c r="I20" s="877"/>
      <c r="J20" s="877"/>
      <c r="K20" s="877"/>
      <c r="L20" s="877"/>
      <c r="M20" s="48"/>
    </row>
    <row r="21" spans="2:13">
      <c r="B21" s="59"/>
      <c r="C21" s="2" t="s">
        <v>287</v>
      </c>
      <c r="D21" s="2"/>
      <c r="E21" s="137">
        <v>0.1</v>
      </c>
      <c r="I21" s="142">
        <f>ROUND(IF(L16="","",+L16*E21),2)</f>
        <v>0</v>
      </c>
      <c r="M21" s="50"/>
    </row>
    <row r="22" spans="2:13">
      <c r="B22" s="59"/>
      <c r="C22" s="873" t="s">
        <v>286</v>
      </c>
      <c r="D22" s="873"/>
      <c r="E22" s="873"/>
      <c r="F22" s="873"/>
      <c r="G22" s="873"/>
      <c r="H22" s="873"/>
      <c r="I22" s="4">
        <f>ROUND(-J111,2)</f>
        <v>0</v>
      </c>
      <c r="M22" s="50"/>
    </row>
    <row r="23" spans="2:13">
      <c r="B23" s="59"/>
      <c r="C23" s="861" t="s">
        <v>285</v>
      </c>
      <c r="D23" s="861"/>
      <c r="E23" s="861"/>
      <c r="F23" s="861"/>
      <c r="H23" s="1"/>
      <c r="I23" s="119"/>
      <c r="J23" s="1"/>
      <c r="K23" s="3" t="s">
        <v>284</v>
      </c>
      <c r="L23" s="4">
        <f>IF(+I21="",0,+I21+I22)</f>
        <v>0</v>
      </c>
      <c r="M23" s="50"/>
    </row>
    <row r="24" spans="2:13">
      <c r="B24" s="59"/>
      <c r="C24" s="872" t="s">
        <v>283</v>
      </c>
      <c r="D24" s="872"/>
      <c r="E24" s="872"/>
      <c r="F24" s="872"/>
      <c r="I24" s="118"/>
      <c r="K24" s="3" t="s">
        <v>282</v>
      </c>
      <c r="L24" s="142">
        <f>ROUND(IF(L16&gt;0,L16-L23,0),2)</f>
        <v>0</v>
      </c>
      <c r="M24" s="50"/>
    </row>
    <row r="25" spans="2:13">
      <c r="B25" s="65"/>
      <c r="C25" s="136"/>
      <c r="D25" s="136"/>
      <c r="E25" s="136"/>
      <c r="F25" s="136"/>
      <c r="G25" s="5"/>
      <c r="H25" s="5"/>
      <c r="I25" s="4"/>
      <c r="J25" s="5"/>
      <c r="K25" s="135"/>
      <c r="L25" s="4"/>
      <c r="M25" s="54"/>
    </row>
    <row r="26" spans="2:13">
      <c r="C26" s="2"/>
      <c r="D26" s="2"/>
      <c r="E26" s="2"/>
      <c r="F26" s="2"/>
      <c r="I26" s="118"/>
      <c r="K26" s="3"/>
      <c r="L26" s="118"/>
    </row>
    <row r="27" spans="2:13">
      <c r="B27" s="141"/>
      <c r="C27" s="140"/>
      <c r="D27" s="140"/>
      <c r="E27" s="140"/>
      <c r="F27" s="140"/>
      <c r="G27" s="46"/>
      <c r="H27" s="46"/>
      <c r="I27" s="138"/>
      <c r="J27" s="46"/>
      <c r="K27" s="139"/>
      <c r="L27" s="138"/>
      <c r="M27" s="48"/>
    </row>
    <row r="28" spans="2:13">
      <c r="B28" s="59"/>
      <c r="C28" s="2" t="s">
        <v>287</v>
      </c>
      <c r="D28" s="2"/>
      <c r="E28" s="137">
        <v>0.25</v>
      </c>
      <c r="I28" s="4">
        <f>ROUND(IF(L16="","",+L16*E28),2)</f>
        <v>0</v>
      </c>
      <c r="M28" s="50"/>
    </row>
    <row r="29" spans="2:13">
      <c r="B29" s="59"/>
      <c r="C29" s="873" t="s">
        <v>286</v>
      </c>
      <c r="D29" s="873"/>
      <c r="E29" s="873"/>
      <c r="F29" s="873"/>
      <c r="G29" s="873"/>
      <c r="H29" s="873"/>
      <c r="I29" s="4">
        <f>ROUND(-J111,2)</f>
        <v>0</v>
      </c>
      <c r="M29" s="50"/>
    </row>
    <row r="30" spans="2:13">
      <c r="B30" s="59"/>
      <c r="C30" s="861" t="s">
        <v>285</v>
      </c>
      <c r="D30" s="861"/>
      <c r="E30" s="861"/>
      <c r="F30" s="861"/>
      <c r="H30" s="1"/>
      <c r="I30" s="119"/>
      <c r="J30" s="1"/>
      <c r="K30" s="3" t="s">
        <v>284</v>
      </c>
      <c r="L30" s="4">
        <f>IF(+I28="",0,+I28+I29)</f>
        <v>0</v>
      </c>
      <c r="M30" s="50"/>
    </row>
    <row r="31" spans="2:13">
      <c r="B31" s="59"/>
      <c r="C31" s="872" t="s">
        <v>283</v>
      </c>
      <c r="D31" s="872"/>
      <c r="E31" s="872"/>
      <c r="F31" s="872"/>
      <c r="I31" s="118"/>
      <c r="K31" s="3" t="s">
        <v>282</v>
      </c>
      <c r="L31" s="4">
        <f>ROUND(IF(L16&gt;0,L16-L30,0),2)</f>
        <v>0</v>
      </c>
      <c r="M31" s="50"/>
    </row>
    <row r="32" spans="2:13">
      <c r="B32" s="65"/>
      <c r="C32" s="136"/>
      <c r="D32" s="136"/>
      <c r="E32" s="136"/>
      <c r="F32" s="136"/>
      <c r="G32" s="5"/>
      <c r="H32" s="5"/>
      <c r="I32" s="4"/>
      <c r="J32" s="5"/>
      <c r="K32" s="135"/>
      <c r="L32" s="4"/>
      <c r="M32" s="54"/>
    </row>
    <row r="33" spans="2:13">
      <c r="C33" s="2"/>
      <c r="D33" s="2"/>
      <c r="E33" s="2"/>
      <c r="F33" s="2"/>
      <c r="I33" s="118"/>
      <c r="K33" s="3"/>
      <c r="L33" s="118"/>
    </row>
    <row r="35" spans="2:13">
      <c r="C35" t="s">
        <v>281</v>
      </c>
    </row>
    <row r="37" spans="2:13" ht="13" thickBot="1">
      <c r="B37" s="128"/>
      <c r="C37" s="128"/>
      <c r="D37" s="128"/>
      <c r="E37" s="128"/>
      <c r="F37" s="128"/>
      <c r="G37" s="128"/>
      <c r="H37" s="128"/>
      <c r="I37" s="128"/>
      <c r="J37" s="128"/>
      <c r="K37" s="128"/>
      <c r="L37" s="128"/>
      <c r="M37" s="128"/>
    </row>
    <row r="38" spans="2:13" ht="13" thickTop="1">
      <c r="B38" s="134"/>
      <c r="M38" s="133"/>
    </row>
    <row r="39" spans="2:13" ht="13">
      <c r="B39" s="131"/>
      <c r="C39" s="132" t="s">
        <v>280</v>
      </c>
      <c r="M39" s="130"/>
    </row>
    <row r="40" spans="2:13">
      <c r="B40" s="131"/>
      <c r="L40" s="118"/>
      <c r="M40" s="130"/>
    </row>
    <row r="41" spans="2:13">
      <c r="B41" s="131"/>
      <c r="D41" s="4">
        <f>+L16</f>
        <v>0</v>
      </c>
      <c r="F41" s="5"/>
      <c r="H41" s="5"/>
      <c r="L41" s="118"/>
      <c r="M41" s="130"/>
    </row>
    <row r="42" spans="2:13">
      <c r="B42" s="131"/>
      <c r="F42" t="s">
        <v>279</v>
      </c>
      <c r="H42" s="1" t="s">
        <v>278</v>
      </c>
      <c r="L42" s="118"/>
      <c r="M42" s="130"/>
    </row>
    <row r="43" spans="2:13">
      <c r="B43" s="131"/>
      <c r="M43" s="130"/>
    </row>
    <row r="44" spans="2:13" ht="13" thickBot="1">
      <c r="B44" s="129"/>
      <c r="C44" s="128"/>
      <c r="D44" s="128"/>
      <c r="E44" s="128"/>
      <c r="F44" s="128"/>
      <c r="G44" s="128"/>
      <c r="H44" s="128"/>
      <c r="I44" s="128"/>
      <c r="J44" s="128"/>
      <c r="K44" s="128"/>
      <c r="L44" s="128"/>
      <c r="M44" s="127"/>
    </row>
    <row r="45" spans="2:13" ht="13" thickTop="1">
      <c r="H45" s="1"/>
      <c r="L45" s="118"/>
    </row>
    <row r="48" spans="2:13" ht="40.5" customHeight="1">
      <c r="D48" s="964" t="str">
        <f>IF(+'Transportation Budget'!C2=0,"",'Transportation Budget'!C2)</f>
        <v/>
      </c>
      <c r="E48" s="964"/>
      <c r="F48" s="964"/>
      <c r="H48" s="968" t="str">
        <f>IF(+'Transportation Budget'!C3=0,"",+'Transportation Budget'!C3)</f>
        <v/>
      </c>
      <c r="I48" s="968"/>
      <c r="J48" s="968"/>
      <c r="K48" s="968"/>
    </row>
    <row r="49" spans="4:11">
      <c r="D49" s="877" t="s">
        <v>33</v>
      </c>
      <c r="E49" s="877"/>
      <c r="F49" s="877"/>
      <c r="H49" s="877" t="s">
        <v>37</v>
      </c>
      <c r="I49" s="877"/>
      <c r="J49" s="877"/>
      <c r="K49" s="877"/>
    </row>
    <row r="52" spans="4:11">
      <c r="D52" s="966"/>
      <c r="E52" s="881"/>
      <c r="F52" s="881"/>
      <c r="H52" s="966"/>
      <c r="I52" s="881"/>
      <c r="J52" s="881"/>
      <c r="K52" s="881"/>
    </row>
    <row r="53" spans="4:11">
      <c r="D53" s="877" t="s">
        <v>35</v>
      </c>
      <c r="E53" s="877"/>
      <c r="F53" s="877"/>
      <c r="H53" s="877" t="s">
        <v>35</v>
      </c>
      <c r="I53" s="877"/>
      <c r="J53" s="877"/>
      <c r="K53" s="877"/>
    </row>
    <row r="55" spans="4:11">
      <c r="D55" s="966">
        <f>'Provider Information'!$F$13</f>
        <v>0</v>
      </c>
      <c r="E55" s="881"/>
      <c r="F55" s="881"/>
      <c r="H55" s="966">
        <f>'Provider Information'!$D$22</f>
        <v>0</v>
      </c>
      <c r="I55" s="881"/>
      <c r="J55" s="881"/>
      <c r="K55" s="881"/>
    </row>
    <row r="56" spans="4:11">
      <c r="D56" s="877" t="s">
        <v>34</v>
      </c>
      <c r="E56" s="877"/>
      <c r="F56" s="877"/>
      <c r="H56" s="877" t="s">
        <v>34</v>
      </c>
      <c r="I56" s="877"/>
      <c r="J56" s="877"/>
      <c r="K56" s="877"/>
    </row>
    <row r="59" spans="4:11">
      <c r="D59" s="1025"/>
      <c r="E59" s="1026"/>
      <c r="F59" s="1026"/>
      <c r="H59" s="1025"/>
      <c r="I59" s="1026"/>
      <c r="J59" s="1026"/>
      <c r="K59" s="1026"/>
    </row>
    <row r="60" spans="4:11">
      <c r="D60" s="877" t="s">
        <v>36</v>
      </c>
      <c r="E60" s="877"/>
      <c r="F60" s="877"/>
      <c r="H60" s="877" t="s">
        <v>36</v>
      </c>
      <c r="I60" s="877"/>
      <c r="J60" s="877"/>
      <c r="K60" s="877"/>
    </row>
    <row r="102" spans="4:12" ht="13">
      <c r="D102" s="708" t="s">
        <v>58</v>
      </c>
      <c r="E102" s="708"/>
      <c r="F102" s="708"/>
      <c r="G102" s="708"/>
      <c r="H102" s="708"/>
      <c r="I102" s="708"/>
      <c r="J102" s="708"/>
    </row>
    <row r="103" spans="4:12">
      <c r="D103" t="s">
        <v>59</v>
      </c>
      <c r="J103" s="9">
        <f>+I21</f>
        <v>0</v>
      </c>
    </row>
    <row r="104" spans="4:12">
      <c r="D104" t="s">
        <v>277</v>
      </c>
      <c r="J104" s="6">
        <f>IF(E10=0,L12,+E10)</f>
        <v>0</v>
      </c>
    </row>
    <row r="105" spans="4:12">
      <c r="D105" t="s">
        <v>60</v>
      </c>
      <c r="E105" s="1"/>
      <c r="J105" s="126">
        <f>+J103*J104</f>
        <v>0</v>
      </c>
    </row>
    <row r="106" spans="4:12">
      <c r="D106" t="s">
        <v>61</v>
      </c>
      <c r="J106" s="13">
        <f>+'In-Kind Certification Transp'!G25</f>
        <v>0</v>
      </c>
    </row>
    <row r="107" spans="4:12">
      <c r="D107" t="s">
        <v>62</v>
      </c>
      <c r="J107" s="11">
        <f>+J105-J106</f>
        <v>0</v>
      </c>
    </row>
    <row r="108" spans="4:12">
      <c r="D108" t="s">
        <v>78</v>
      </c>
      <c r="J108" s="6">
        <f>IF(+E10=0,L12,+E10)</f>
        <v>0</v>
      </c>
    </row>
    <row r="109" spans="4:12">
      <c r="D109" t="s">
        <v>64</v>
      </c>
      <c r="J109" s="12">
        <f>IF(J107=0,0,+J107/J108)</f>
        <v>0</v>
      </c>
      <c r="K109" s="1"/>
      <c r="L109" s="1"/>
    </row>
    <row r="110" spans="4:12">
      <c r="D110" t="s">
        <v>63</v>
      </c>
      <c r="J110" s="13">
        <f>+I21</f>
        <v>0</v>
      </c>
    </row>
    <row r="111" spans="4:12">
      <c r="D111" t="s">
        <v>65</v>
      </c>
      <c r="J111" s="9">
        <f>IF(+J109&lt;=0,+J110,+J110-J109)</f>
        <v>0</v>
      </c>
    </row>
    <row r="112" spans="4:12">
      <c r="J112" s="10"/>
    </row>
    <row r="113" spans="10:10">
      <c r="J113" s="11"/>
    </row>
    <row r="114" spans="10:10">
      <c r="J114" s="11"/>
    </row>
    <row r="115" spans="10:10">
      <c r="J115" s="11"/>
    </row>
    <row r="116" spans="10:10">
      <c r="J116" s="11"/>
    </row>
    <row r="117" spans="10:10">
      <c r="J117" s="11"/>
    </row>
    <row r="118" spans="10:10">
      <c r="J118" s="11"/>
    </row>
  </sheetData>
  <sheetProtection formatCells="0" formatColumns="0" formatRows="0"/>
  <customSheetViews>
    <customSheetView guid="{DDFE7685-90A4-42DC-AFD9-89B5EC30420E}" scale="80" showPageBreaks="1" showGridLines="0" fitToPage="1" printArea="1">
      <selection activeCell="F75" sqref="F75"/>
      <pageMargins left="0.7" right="0.7" top="0.75" bottom="0.75" header="0.3" footer="0.3"/>
      <pageSetup paperSize="5" scale="11" orientation="portrait" r:id="rId1"/>
    </customSheetView>
  </customSheetViews>
  <mergeCells count="43">
    <mergeCell ref="C20:L20"/>
    <mergeCell ref="C29:H29"/>
    <mergeCell ref="D52:F52"/>
    <mergeCell ref="H52:K52"/>
    <mergeCell ref="H48:K48"/>
    <mergeCell ref="C24:F24"/>
    <mergeCell ref="C22:H22"/>
    <mergeCell ref="C23:F23"/>
    <mergeCell ref="D49:F49"/>
    <mergeCell ref="H49:K49"/>
    <mergeCell ref="D48:F48"/>
    <mergeCell ref="C31:F31"/>
    <mergeCell ref="C30:F30"/>
    <mergeCell ref="D102:J102"/>
    <mergeCell ref="D53:F53"/>
    <mergeCell ref="H53:K53"/>
    <mergeCell ref="H55:K55"/>
    <mergeCell ref="D56:F56"/>
    <mergeCell ref="H56:K56"/>
    <mergeCell ref="D55:F55"/>
    <mergeCell ref="D59:F59"/>
    <mergeCell ref="D60:F60"/>
    <mergeCell ref="H60:K60"/>
    <mergeCell ref="H59:K59"/>
    <mergeCell ref="C18:L18"/>
    <mergeCell ref="C14:L14"/>
    <mergeCell ref="C11:D11"/>
    <mergeCell ref="C13:L13"/>
    <mergeCell ref="C7:J7"/>
    <mergeCell ref="C10:D10"/>
    <mergeCell ref="C12:D12"/>
    <mergeCell ref="C16:J16"/>
    <mergeCell ref="C15:L15"/>
    <mergeCell ref="C17:L17"/>
    <mergeCell ref="J11:L11"/>
    <mergeCell ref="D1:E1"/>
    <mergeCell ref="C5:L5"/>
    <mergeCell ref="E2:I2"/>
    <mergeCell ref="E3:J3"/>
    <mergeCell ref="C9:L9"/>
    <mergeCell ref="C8:L8"/>
    <mergeCell ref="C4:L4"/>
    <mergeCell ref="C6:L6"/>
  </mergeCells>
  <pageMargins left="0.7" right="0.7" top="0.75" bottom="0.75" header="0.3" footer="0.3"/>
  <pageSetup paperSize="5" scale="74" orientation="portrait"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tabColor rgb="FF0070C0"/>
    <pageSetUpPr fitToPage="1"/>
  </sheetPr>
  <dimension ref="B1:M47"/>
  <sheetViews>
    <sheetView showGridLines="0" topLeftCell="A36" zoomScale="90" zoomScaleNormal="90" zoomScaleSheetLayoutView="100" workbookViewId="0">
      <selection activeCell="X38" sqref="X38"/>
    </sheetView>
  </sheetViews>
  <sheetFormatPr defaultRowHeight="12.5"/>
  <cols>
    <col min="3" max="3" width="17.453125" customWidth="1"/>
    <col min="4" max="4" width="6.26953125" customWidth="1"/>
    <col min="5" max="5" width="20.453125" bestFit="1" customWidth="1"/>
    <col min="6" max="6" width="6" customWidth="1"/>
    <col min="7" max="7" width="5.81640625" customWidth="1"/>
    <col min="8" max="8" width="13.453125" customWidth="1"/>
    <col min="9" max="10" width="9.1796875" customWidth="1"/>
    <col min="11" max="11" width="5.1796875" customWidth="1"/>
    <col min="13" max="13" width="11.81640625" customWidth="1"/>
  </cols>
  <sheetData>
    <row r="1" spans="2:11">
      <c r="C1" s="977">
        <f ca="1">NOW()</f>
        <v>45380.323058564813</v>
      </c>
      <c r="D1" s="977"/>
    </row>
    <row r="2" spans="2:11" ht="15.5">
      <c r="B2" s="574"/>
      <c r="C2" s="273" t="s">
        <v>26</v>
      </c>
      <c r="D2" s="779">
        <f>+'Provider Information'!F6</f>
        <v>0</v>
      </c>
      <c r="E2" s="780"/>
      <c r="F2" s="780"/>
      <c r="G2" s="780"/>
      <c r="H2" s="780"/>
      <c r="I2" s="9"/>
    </row>
    <row r="3" spans="2:11" ht="15.5">
      <c r="B3" s="571"/>
      <c r="C3" s="572" t="s">
        <v>388</v>
      </c>
      <c r="D3" s="779">
        <f>+'Provider Information'!D21</f>
        <v>0</v>
      </c>
      <c r="E3" s="779"/>
      <c r="F3" s="779"/>
      <c r="G3" s="779"/>
      <c r="H3" s="779"/>
      <c r="I3" s="779"/>
    </row>
    <row r="4" spans="2:11" ht="17.5">
      <c r="B4" s="1054" t="str">
        <f>+'Provider Total Budget by Serv'!K4</f>
        <v>Transportation</v>
      </c>
      <c r="C4" s="1055"/>
      <c r="D4" s="1055"/>
      <c r="E4" s="1055"/>
      <c r="F4" s="1055"/>
      <c r="G4" s="1055"/>
      <c r="H4" s="1055"/>
      <c r="I4" s="1055"/>
      <c r="J4" s="1055"/>
      <c r="K4" s="1055"/>
    </row>
    <row r="5" spans="2:11" ht="18.75" customHeight="1">
      <c r="B5" s="1056" t="s">
        <v>79</v>
      </c>
      <c r="C5" s="1056"/>
      <c r="D5" s="1056"/>
      <c r="E5" s="1056"/>
      <c r="F5" s="1056"/>
      <c r="G5" s="1056"/>
      <c r="H5" s="1056"/>
      <c r="I5" s="1056"/>
      <c r="J5" s="1056"/>
      <c r="K5" s="1056"/>
    </row>
    <row r="6" spans="2:11" ht="17.5">
      <c r="B6" s="863"/>
      <c r="C6" s="863"/>
      <c r="D6" s="863"/>
      <c r="E6" s="863"/>
      <c r="F6" s="124"/>
      <c r="G6" s="864"/>
      <c r="H6" s="865"/>
      <c r="I6" s="865"/>
      <c r="J6" s="865"/>
      <c r="K6" s="865"/>
    </row>
    <row r="7" spans="2:11" ht="15">
      <c r="B7" s="45" t="s">
        <v>80</v>
      </c>
      <c r="C7" s="46"/>
      <c r="D7" s="46"/>
      <c r="E7" s="46"/>
      <c r="F7" s="46"/>
      <c r="G7" s="46"/>
      <c r="H7" s="46"/>
      <c r="I7" s="47"/>
      <c r="J7" s="46"/>
      <c r="K7" s="48"/>
    </row>
    <row r="8" spans="2:11" ht="15">
      <c r="B8" s="49"/>
      <c r="K8" s="50"/>
    </row>
    <row r="9" spans="2:11" ht="16.5">
      <c r="B9" s="51" t="s">
        <v>81</v>
      </c>
      <c r="C9" s="52" t="s">
        <v>82</v>
      </c>
      <c r="K9" s="50"/>
    </row>
    <row r="10" spans="2:11" ht="16.5">
      <c r="B10" s="51"/>
      <c r="C10" s="52"/>
      <c r="K10" s="50"/>
    </row>
    <row r="11" spans="2:11" ht="16.5">
      <c r="B11" s="51" t="s">
        <v>81</v>
      </c>
      <c r="C11" s="52" t="s">
        <v>83</v>
      </c>
      <c r="K11" s="50"/>
    </row>
    <row r="12" spans="2:11" ht="16.5">
      <c r="B12" s="51"/>
      <c r="C12" s="52"/>
      <c r="K12" s="50"/>
    </row>
    <row r="13" spans="2:11" ht="16.5">
      <c r="B13" s="51" t="s">
        <v>81</v>
      </c>
      <c r="C13" s="52" t="s">
        <v>84</v>
      </c>
      <c r="K13" s="50"/>
    </row>
    <row r="14" spans="2:11" ht="16.5">
      <c r="B14" s="51" t="s">
        <v>5</v>
      </c>
      <c r="C14" s="52" t="s">
        <v>85</v>
      </c>
      <c r="D14" s="40"/>
      <c r="K14" s="50"/>
    </row>
    <row r="15" spans="2:11" ht="16.5">
      <c r="B15" s="51" t="s">
        <v>5</v>
      </c>
      <c r="C15" s="52" t="s">
        <v>86</v>
      </c>
      <c r="D15" s="40"/>
      <c r="K15" s="50"/>
    </row>
    <row r="16" spans="2:11" ht="16.5">
      <c r="B16" s="51"/>
      <c r="C16" s="52"/>
      <c r="K16" s="50"/>
    </row>
    <row r="17" spans="2:13" ht="16.5">
      <c r="B17" s="51" t="s">
        <v>81</v>
      </c>
      <c r="C17" s="52" t="s">
        <v>87</v>
      </c>
      <c r="K17" s="50"/>
    </row>
    <row r="18" spans="2:13" ht="16.5">
      <c r="B18" s="53" t="s">
        <v>5</v>
      </c>
      <c r="C18" s="52" t="s">
        <v>88</v>
      </c>
      <c r="D18" s="40"/>
      <c r="K18" s="50"/>
    </row>
    <row r="19" spans="2:13" ht="16.5">
      <c r="B19" s="53"/>
      <c r="C19" s="52"/>
      <c r="D19" s="40"/>
      <c r="K19" s="50"/>
    </row>
    <row r="20" spans="2:13" ht="16.5">
      <c r="B20" s="51" t="s">
        <v>81</v>
      </c>
      <c r="C20" s="52" t="s">
        <v>118</v>
      </c>
      <c r="D20" s="40"/>
      <c r="K20" s="50"/>
    </row>
    <row r="21" spans="2:13" ht="16.5">
      <c r="B21" s="53" t="s">
        <v>5</v>
      </c>
      <c r="C21" s="52" t="s">
        <v>119</v>
      </c>
      <c r="D21" s="40"/>
      <c r="K21" s="50"/>
    </row>
    <row r="22" spans="2:13" ht="16.5">
      <c r="B22" s="59"/>
      <c r="C22" s="52" t="s">
        <v>120</v>
      </c>
      <c r="D22" s="556"/>
      <c r="K22" s="50"/>
    </row>
    <row r="23" spans="2:13">
      <c r="B23" s="65"/>
      <c r="C23" s="5"/>
      <c r="D23" s="5"/>
      <c r="E23" s="5"/>
      <c r="F23" s="5"/>
      <c r="G23" s="5"/>
      <c r="H23" s="5"/>
      <c r="I23" s="5"/>
      <c r="J23" s="5"/>
      <c r="K23" s="54"/>
    </row>
    <row r="24" spans="2:13" ht="15">
      <c r="B24" s="43"/>
    </row>
    <row r="25" spans="2:13" ht="15">
      <c r="B25" s="55" t="s">
        <v>89</v>
      </c>
      <c r="C25" s="56" t="s">
        <v>90</v>
      </c>
      <c r="D25" s="56"/>
      <c r="E25" s="46"/>
      <c r="F25" s="46"/>
      <c r="G25" s="46"/>
      <c r="H25" s="46"/>
      <c r="I25" s="46"/>
      <c r="J25" s="46"/>
      <c r="K25" s="48"/>
      <c r="M25" s="63"/>
    </row>
    <row r="26" spans="2:13" ht="15">
      <c r="B26" s="57"/>
      <c r="C26" s="58" t="s">
        <v>91</v>
      </c>
      <c r="D26" s="58"/>
      <c r="K26" s="50"/>
      <c r="M26" s="39"/>
    </row>
    <row r="27" spans="2:13" ht="15">
      <c r="B27" s="59"/>
      <c r="C27" s="58" t="s">
        <v>92</v>
      </c>
      <c r="D27" s="58"/>
      <c r="K27" s="50"/>
    </row>
    <row r="28" spans="2:13" ht="15">
      <c r="B28" s="57"/>
      <c r="C28" s="58" t="s">
        <v>93</v>
      </c>
      <c r="D28" s="58"/>
      <c r="K28" s="50"/>
    </row>
    <row r="29" spans="2:13" ht="15">
      <c r="B29" s="57"/>
      <c r="C29" s="40" t="s">
        <v>94</v>
      </c>
      <c r="D29" s="40"/>
      <c r="K29" s="50"/>
    </row>
    <row r="30" spans="2:13" ht="15">
      <c r="B30" s="60"/>
      <c r="C30" s="40" t="s">
        <v>95</v>
      </c>
      <c r="D30" s="40"/>
      <c r="K30" s="50"/>
    </row>
    <row r="31" spans="2:13" ht="15">
      <c r="B31" s="57"/>
      <c r="C31" s="40" t="s">
        <v>96</v>
      </c>
      <c r="D31" s="40"/>
      <c r="K31" s="50"/>
    </row>
    <row r="32" spans="2:13" ht="15">
      <c r="B32" s="61"/>
      <c r="C32" s="62" t="s">
        <v>97</v>
      </c>
      <c r="D32" s="62"/>
      <c r="E32" s="5"/>
      <c r="F32" s="5"/>
      <c r="G32" s="5"/>
      <c r="H32" s="5"/>
      <c r="I32" s="5"/>
      <c r="J32" s="5"/>
      <c r="K32" s="54"/>
    </row>
    <row r="33" spans="2:10" ht="15">
      <c r="B33" s="43"/>
      <c r="C33" s="40"/>
      <c r="D33" s="40"/>
    </row>
    <row r="34" spans="2:10" ht="15">
      <c r="B34" s="43"/>
      <c r="C34" s="40"/>
      <c r="D34" s="40"/>
    </row>
    <row r="35" spans="2:10" ht="66.75" customHeight="1">
      <c r="C35" s="855">
        <f>+'Transportation Budget'!C2</f>
        <v>0</v>
      </c>
      <c r="D35" s="855"/>
      <c r="E35" s="855"/>
      <c r="F35" s="40"/>
      <c r="G35" s="856">
        <f>'Provider Information'!$F$13</f>
        <v>0</v>
      </c>
      <c r="H35" s="856"/>
      <c r="I35" s="856"/>
      <c r="J35" s="856"/>
    </row>
    <row r="36" spans="2:10">
      <c r="C36" s="867" t="s">
        <v>98</v>
      </c>
      <c r="D36" s="867"/>
      <c r="E36" s="867"/>
      <c r="F36" s="41"/>
      <c r="G36" s="854" t="s">
        <v>34</v>
      </c>
      <c r="H36" s="854"/>
      <c r="I36" s="854"/>
      <c r="J36" s="854"/>
    </row>
    <row r="37" spans="2:10">
      <c r="B37" s="41"/>
    </row>
    <row r="38" spans="2:10">
      <c r="B38" s="41"/>
    </row>
    <row r="39" spans="2:10" ht="15">
      <c r="C39" s="1057"/>
      <c r="D39" s="972"/>
      <c r="E39" s="972"/>
      <c r="F39" s="40"/>
      <c r="G39" s="856"/>
      <c r="H39" s="856"/>
      <c r="I39" s="856"/>
      <c r="J39" s="856"/>
    </row>
    <row r="40" spans="2:10">
      <c r="C40" s="854" t="s">
        <v>36</v>
      </c>
      <c r="D40" s="854"/>
      <c r="E40" s="854"/>
      <c r="F40" s="42"/>
      <c r="G40" s="854" t="s">
        <v>35</v>
      </c>
      <c r="H40" s="854"/>
      <c r="I40" s="854"/>
      <c r="J40" s="854"/>
    </row>
    <row r="41" spans="2:10">
      <c r="B41" s="41"/>
    </row>
    <row r="42" spans="2:10">
      <c r="B42" s="41"/>
    </row>
    <row r="43" spans="2:10">
      <c r="B43" s="41"/>
    </row>
    <row r="44" spans="2:10" ht="15">
      <c r="C44" s="41" t="s">
        <v>99</v>
      </c>
      <c r="D44" s="43"/>
      <c r="E44" s="44" t="s">
        <v>100</v>
      </c>
      <c r="F44" s="43"/>
      <c r="G44" s="44" t="s">
        <v>101</v>
      </c>
      <c r="H44" s="44"/>
      <c r="I44" s="44"/>
    </row>
    <row r="45" spans="2:10" ht="15">
      <c r="C45" s="41" t="s">
        <v>102</v>
      </c>
      <c r="D45" s="43"/>
      <c r="E45" s="41" t="s">
        <v>103</v>
      </c>
      <c r="F45" s="43"/>
      <c r="G45" s="44" t="s">
        <v>104</v>
      </c>
      <c r="H45" s="44"/>
      <c r="I45" s="44"/>
    </row>
    <row r="46" spans="2:10" ht="15">
      <c r="D46" s="43"/>
      <c r="E46" s="44" t="s">
        <v>105</v>
      </c>
      <c r="F46" s="43"/>
      <c r="G46" s="44" t="s">
        <v>106</v>
      </c>
      <c r="H46" s="44"/>
      <c r="I46" s="44"/>
    </row>
    <row r="47" spans="2:10">
      <c r="B47" s="41"/>
    </row>
  </sheetData>
  <sheetProtection formatCells="0" formatColumns="0" formatRows="0"/>
  <customSheetViews>
    <customSheetView guid="{DDFE7685-90A4-42DC-AFD9-89B5EC30420E}" scale="90" showPageBreaks="1" showGridLines="0" fitToPage="1">
      <selection activeCell="K2" sqref="K2"/>
      <rowBreaks count="1" manualBreakCount="1">
        <brk id="74" max="16383" man="1"/>
      </rowBreaks>
      <colBreaks count="2" manualBreakCount="2">
        <brk id="11" max="1048575" man="1"/>
        <brk id="13" max="1048575" man="1"/>
      </colBreaks>
      <pageMargins left="0.7" right="0.7" top="0.75" bottom="0.75" header="0.3" footer="0.3"/>
      <pageSetup paperSize="5" scale="83" orientation="portrait" r:id="rId1"/>
    </customSheetView>
  </customSheetViews>
  <mergeCells count="15">
    <mergeCell ref="C1:D1"/>
    <mergeCell ref="C40:E40"/>
    <mergeCell ref="G40:J40"/>
    <mergeCell ref="B4:K4"/>
    <mergeCell ref="B5:K5"/>
    <mergeCell ref="B6:E6"/>
    <mergeCell ref="G6:K6"/>
    <mergeCell ref="C35:E35"/>
    <mergeCell ref="G35:J35"/>
    <mergeCell ref="D2:H2"/>
    <mergeCell ref="C36:E36"/>
    <mergeCell ref="G36:J36"/>
    <mergeCell ref="C39:E39"/>
    <mergeCell ref="G39:J39"/>
    <mergeCell ref="D3:I3"/>
  </mergeCells>
  <pageMargins left="0.7" right="0.7" top="0.75" bottom="0.75" header="0.3" footer="0.3"/>
  <pageSetup paperSize="5" scale="83" orientation="portrait" r:id="rId2"/>
  <rowBreaks count="1" manualBreakCount="1">
    <brk id="74" max="16383" man="1"/>
  </rowBreaks>
  <colBreaks count="2" manualBreakCount="2">
    <brk id="11" max="1048575" man="1"/>
    <brk id="13" max="1048575" man="1"/>
  </colBreaks>
  <drawing r:id="rId3"/>
  <legacyDrawing r:id="rId4"/>
  <mc:AlternateContent xmlns:mc="http://schemas.openxmlformats.org/markup-compatibility/2006">
    <mc:Choice Requires="x14">
      <controls>
        <mc:AlternateContent xmlns:mc="http://schemas.openxmlformats.org/markup-compatibility/2006">
          <mc:Choice Requires="x14">
            <control shapeId="19457" r:id="rId5" name="Check Box 1">
              <controlPr defaultSize="0" autoFill="0" autoLine="0" autoPict="0">
                <anchor moveWithCells="1">
                  <from>
                    <xdr:col>3</xdr:col>
                    <xdr:colOff>12700</xdr:colOff>
                    <xdr:row>45</xdr:row>
                    <xdr:rowOff>12700</xdr:rowOff>
                  </from>
                  <to>
                    <xdr:col>3</xdr:col>
                    <xdr:colOff>317500</xdr:colOff>
                    <xdr:row>46</xdr:row>
                    <xdr:rowOff>69850</xdr:rowOff>
                  </to>
                </anchor>
              </controlPr>
            </control>
          </mc:Choice>
        </mc:AlternateContent>
        <mc:AlternateContent xmlns:mc="http://schemas.openxmlformats.org/markup-compatibility/2006">
          <mc:Choice Requires="x14">
            <control shapeId="19458" r:id="rId6" name="Check Box 2">
              <controlPr defaultSize="0" autoFill="0" autoLine="0" autoPict="0">
                <anchor moveWithCells="1">
                  <from>
                    <xdr:col>3</xdr:col>
                    <xdr:colOff>12700</xdr:colOff>
                    <xdr:row>43</xdr:row>
                    <xdr:rowOff>31750</xdr:rowOff>
                  </from>
                  <to>
                    <xdr:col>3</xdr:col>
                    <xdr:colOff>317500</xdr:colOff>
                    <xdr:row>44</xdr:row>
                    <xdr:rowOff>88900</xdr:rowOff>
                  </to>
                </anchor>
              </controlPr>
            </control>
          </mc:Choice>
        </mc:AlternateContent>
        <mc:AlternateContent xmlns:mc="http://schemas.openxmlformats.org/markup-compatibility/2006">
          <mc:Choice Requires="x14">
            <control shapeId="19459" r:id="rId7" name="Check Box 3">
              <controlPr defaultSize="0" autoFill="0" autoLine="0" autoPict="0">
                <anchor moveWithCells="1">
                  <from>
                    <xdr:col>3</xdr:col>
                    <xdr:colOff>31750</xdr:colOff>
                    <xdr:row>44</xdr:row>
                    <xdr:rowOff>0</xdr:rowOff>
                  </from>
                  <to>
                    <xdr:col>3</xdr:col>
                    <xdr:colOff>342900</xdr:colOff>
                    <xdr:row>45</xdr:row>
                    <xdr:rowOff>88900</xdr:rowOff>
                  </to>
                </anchor>
              </controlPr>
            </control>
          </mc:Choice>
        </mc:AlternateContent>
        <mc:AlternateContent xmlns:mc="http://schemas.openxmlformats.org/markup-compatibility/2006">
          <mc:Choice Requires="x14">
            <control shapeId="19460" r:id="rId8" name="Check Box 4">
              <controlPr defaultSize="0" autoFill="0" autoLine="0" autoPict="0">
                <anchor moveWithCells="1">
                  <from>
                    <xdr:col>5</xdr:col>
                    <xdr:colOff>95250</xdr:colOff>
                    <xdr:row>43</xdr:row>
                    <xdr:rowOff>12700</xdr:rowOff>
                  </from>
                  <to>
                    <xdr:col>6</xdr:col>
                    <xdr:colOff>12700</xdr:colOff>
                    <xdr:row>44</xdr:row>
                    <xdr:rowOff>69850</xdr:rowOff>
                  </to>
                </anchor>
              </controlPr>
            </control>
          </mc:Choice>
        </mc:AlternateContent>
        <mc:AlternateContent xmlns:mc="http://schemas.openxmlformats.org/markup-compatibility/2006">
          <mc:Choice Requires="x14">
            <control shapeId="19461" r:id="rId9" name="Check Box 5">
              <controlPr defaultSize="0" autoFill="0" autoLine="0" autoPict="0">
                <anchor moveWithCells="1">
                  <from>
                    <xdr:col>5</xdr:col>
                    <xdr:colOff>76200</xdr:colOff>
                    <xdr:row>44</xdr:row>
                    <xdr:rowOff>31750</xdr:rowOff>
                  </from>
                  <to>
                    <xdr:col>5</xdr:col>
                    <xdr:colOff>381000</xdr:colOff>
                    <xdr:row>45</xdr:row>
                    <xdr:rowOff>88900</xdr:rowOff>
                  </to>
                </anchor>
              </controlPr>
            </control>
          </mc:Choice>
        </mc:AlternateContent>
        <mc:AlternateContent xmlns:mc="http://schemas.openxmlformats.org/markup-compatibility/2006">
          <mc:Choice Requires="x14">
            <control shapeId="19462" r:id="rId10" name="Check Box 6">
              <controlPr defaultSize="0" autoFill="0" autoLine="0" autoPict="0">
                <anchor moveWithCells="1">
                  <from>
                    <xdr:col>5</xdr:col>
                    <xdr:colOff>76200</xdr:colOff>
                    <xdr:row>45</xdr:row>
                    <xdr:rowOff>31750</xdr:rowOff>
                  </from>
                  <to>
                    <xdr:col>5</xdr:col>
                    <xdr:colOff>381000</xdr:colOff>
                    <xdr:row>46</xdr:row>
                    <xdr:rowOff>88900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Z497"/>
  <sheetViews>
    <sheetView zoomScale="90" zoomScaleNormal="90" workbookViewId="0">
      <selection activeCell="B49" sqref="B49"/>
    </sheetView>
  </sheetViews>
  <sheetFormatPr defaultColWidth="9.1796875" defaultRowHeight="12.5"/>
  <cols>
    <col min="1" max="1" width="3.54296875" style="273" customWidth="1"/>
    <col min="2" max="2" width="59.1796875" style="277" customWidth="1"/>
    <col min="3" max="3" width="13.81640625" style="275" bestFit="1" customWidth="1"/>
    <col min="4" max="4" width="12.453125" style="275" customWidth="1"/>
    <col min="5" max="6" width="11.7265625" style="275" customWidth="1"/>
    <col min="7" max="7" width="12.7265625" style="275" customWidth="1"/>
    <col min="8" max="8" width="14.54296875" style="275" customWidth="1"/>
    <col min="9" max="9" width="14.54296875" style="275" bestFit="1" customWidth="1"/>
    <col min="10" max="10" width="16" style="275" bestFit="1" customWidth="1"/>
    <col min="11" max="11" width="14.54296875" style="275" bestFit="1" customWidth="1"/>
    <col min="12" max="14" width="14.54296875" style="276" bestFit="1" customWidth="1"/>
    <col min="15" max="15" width="11.7265625" style="275" customWidth="1"/>
    <col min="16" max="16" width="3.7265625" style="248" customWidth="1"/>
    <col min="17" max="18" width="9.1796875" style="248"/>
    <col min="19" max="19" width="10.54296875" style="248" customWidth="1"/>
    <col min="20" max="16384" width="9.1796875" style="248"/>
  </cols>
  <sheetData>
    <row r="1" spans="1:26" ht="18">
      <c r="A1" s="278"/>
      <c r="B1" s="731" t="s">
        <v>196</v>
      </c>
      <c r="C1" s="732"/>
      <c r="D1" s="732"/>
      <c r="E1" s="732"/>
      <c r="F1" s="732"/>
      <c r="G1" s="732"/>
      <c r="H1" s="644"/>
      <c r="I1" s="644"/>
      <c r="J1" s="644"/>
      <c r="K1" s="282"/>
      <c r="L1" s="282"/>
      <c r="M1" s="282"/>
      <c r="N1" s="282"/>
      <c r="O1" s="283"/>
      <c r="P1" s="278"/>
      <c r="Z1" s="63"/>
    </row>
    <row r="2" spans="1:26">
      <c r="A2" s="145"/>
      <c r="B2" s="542" t="s">
        <v>26</v>
      </c>
      <c r="C2" s="733" t="str">
        <f>IF(ISBLANK('Provider Information'!F6),"",+'Provider Information'!F6)</f>
        <v/>
      </c>
      <c r="D2" s="734"/>
      <c r="E2" s="734"/>
      <c r="F2" s="734"/>
      <c r="G2" s="735"/>
      <c r="H2" s="737" t="s">
        <v>388</v>
      </c>
      <c r="I2" s="738"/>
      <c r="J2" s="613">
        <f>+'Provider Information'!D21</f>
        <v>0</v>
      </c>
      <c r="K2" s="613"/>
      <c r="L2" s="613"/>
      <c r="M2" s="613"/>
      <c r="N2" s="613"/>
      <c r="O2" s="249"/>
      <c r="P2" s="278"/>
    </row>
    <row r="3" spans="1:26" ht="13">
      <c r="A3" s="146"/>
      <c r="B3" s="605">
        <f ca="1">NOW()</f>
        <v>45380.323058564813</v>
      </c>
      <c r="C3" s="250"/>
      <c r="D3" s="250"/>
      <c r="E3" s="250"/>
      <c r="F3" s="250"/>
      <c r="G3" s="250"/>
      <c r="H3" s="736" t="s">
        <v>389</v>
      </c>
      <c r="I3" s="736"/>
      <c r="J3" s="739">
        <f>+'Provider Information'!E26</f>
        <v>0</v>
      </c>
      <c r="K3" s="739"/>
      <c r="L3" s="645"/>
      <c r="M3" s="645"/>
      <c r="N3" s="645"/>
      <c r="O3" s="74"/>
      <c r="P3" s="278"/>
    </row>
    <row r="4" spans="1:26" s="255" customFormat="1" ht="50.5">
      <c r="A4" s="147"/>
      <c r="B4" s="287" t="s">
        <v>136</v>
      </c>
      <c r="C4" s="251" t="s">
        <v>169</v>
      </c>
      <c r="D4" s="252" t="s">
        <v>121</v>
      </c>
      <c r="E4" s="663" t="s">
        <v>223</v>
      </c>
      <c r="F4" s="691" t="s">
        <v>457</v>
      </c>
      <c r="G4" s="247" t="s">
        <v>122</v>
      </c>
      <c r="H4" s="664" t="s">
        <v>453</v>
      </c>
      <c r="I4" s="253" t="s">
        <v>249</v>
      </c>
      <c r="J4" s="254" t="s">
        <v>198</v>
      </c>
      <c r="K4" s="253" t="s">
        <v>260</v>
      </c>
      <c r="L4" s="253" t="s">
        <v>222</v>
      </c>
      <c r="M4" s="253" t="s">
        <v>222</v>
      </c>
      <c r="N4" s="253" t="s">
        <v>222</v>
      </c>
      <c r="O4" s="247" t="s">
        <v>155</v>
      </c>
      <c r="P4" s="279"/>
      <c r="Q4" s="328"/>
      <c r="R4" s="611"/>
      <c r="S4" s="611"/>
    </row>
    <row r="5" spans="1:26" s="255" customFormat="1" ht="1.5" customHeight="1">
      <c r="A5" s="147"/>
      <c r="B5" s="288"/>
      <c r="C5" s="256"/>
      <c r="D5" s="257"/>
      <c r="E5" s="257"/>
      <c r="F5" s="257"/>
      <c r="G5" s="257"/>
      <c r="H5" s="258"/>
      <c r="I5" s="258"/>
      <c r="J5" s="259"/>
      <c r="K5" s="258"/>
      <c r="L5" s="258"/>
      <c r="M5" s="258"/>
      <c r="N5" s="258"/>
      <c r="O5" s="260"/>
      <c r="P5" s="279"/>
    </row>
    <row r="6" spans="1:26" s="164" customFormat="1" ht="13">
      <c r="A6" s="148"/>
      <c r="B6" s="724" t="s">
        <v>230</v>
      </c>
      <c r="C6" s="725"/>
      <c r="D6" s="725"/>
      <c r="E6" s="725"/>
      <c r="F6" s="725"/>
      <c r="G6" s="725"/>
      <c r="H6" s="725"/>
      <c r="I6" s="725"/>
      <c r="J6" s="725"/>
      <c r="K6" s="261"/>
      <c r="L6" s="261"/>
      <c r="M6" s="261"/>
      <c r="N6" s="261"/>
      <c r="O6" s="262"/>
      <c r="P6" s="280"/>
    </row>
    <row r="7" spans="1:26" s="73" customFormat="1" ht="13">
      <c r="A7" s="149"/>
      <c r="B7" s="289" t="s">
        <v>123</v>
      </c>
      <c r="C7" s="614"/>
      <c r="D7" s="614"/>
      <c r="E7" s="614"/>
      <c r="F7" s="692"/>
      <c r="G7" s="614"/>
      <c r="H7" s="614"/>
      <c r="I7" s="614"/>
      <c r="J7" s="614"/>
      <c r="K7" s="614"/>
      <c r="L7" s="614"/>
      <c r="M7" s="614"/>
      <c r="N7" s="614"/>
      <c r="O7" s="614"/>
      <c r="P7" s="281"/>
    </row>
    <row r="8" spans="1:26" s="73" customFormat="1">
      <c r="A8" s="149"/>
      <c r="B8" s="290"/>
      <c r="C8" s="615"/>
      <c r="D8" s="615"/>
      <c r="E8" s="615"/>
      <c r="F8" s="693"/>
      <c r="G8" s="615"/>
      <c r="H8" s="615"/>
      <c r="I8" s="615"/>
      <c r="J8" s="615"/>
      <c r="K8" s="615"/>
      <c r="L8" s="615"/>
      <c r="M8" s="615"/>
      <c r="N8" s="615"/>
      <c r="O8" s="615">
        <f t="shared" ref="O8:O15" si="0">+C8-(SUM(D8:N8))</f>
        <v>0</v>
      </c>
      <c r="P8" s="281"/>
    </row>
    <row r="9" spans="1:26" s="73" customFormat="1">
      <c r="A9" s="149"/>
      <c r="B9" s="646"/>
      <c r="C9" s="615"/>
      <c r="D9" s="615"/>
      <c r="E9" s="615"/>
      <c r="F9" s="693"/>
      <c r="G9" s="615"/>
      <c r="H9" s="615"/>
      <c r="I9" s="615"/>
      <c r="J9" s="615"/>
      <c r="K9" s="615"/>
      <c r="L9" s="615"/>
      <c r="M9" s="615"/>
      <c r="N9" s="615"/>
      <c r="O9" s="615">
        <f t="shared" si="0"/>
        <v>0</v>
      </c>
      <c r="P9" s="281"/>
    </row>
    <row r="10" spans="1:26" s="73" customFormat="1">
      <c r="A10" s="149"/>
      <c r="B10" s="646"/>
      <c r="C10" s="615"/>
      <c r="D10" s="615"/>
      <c r="E10" s="615"/>
      <c r="F10" s="693"/>
      <c r="G10" s="615"/>
      <c r="H10" s="615"/>
      <c r="I10" s="615"/>
      <c r="J10" s="615"/>
      <c r="K10" s="615"/>
      <c r="L10" s="615"/>
      <c r="M10" s="615"/>
      <c r="N10" s="615"/>
      <c r="O10" s="615">
        <f t="shared" si="0"/>
        <v>0</v>
      </c>
      <c r="P10" s="281"/>
    </row>
    <row r="11" spans="1:26" s="73" customFormat="1">
      <c r="A11" s="149"/>
      <c r="B11" s="646"/>
      <c r="C11" s="615"/>
      <c r="D11" s="615"/>
      <c r="E11" s="615"/>
      <c r="F11" s="693"/>
      <c r="G11" s="615"/>
      <c r="H11" s="615"/>
      <c r="I11" s="615"/>
      <c r="J11" s="615"/>
      <c r="K11" s="615"/>
      <c r="L11" s="615"/>
      <c r="M11" s="615"/>
      <c r="N11" s="615"/>
      <c r="O11" s="615">
        <f t="shared" si="0"/>
        <v>0</v>
      </c>
      <c r="P11" s="281"/>
      <c r="R11" s="125"/>
      <c r="S11" s="125"/>
    </row>
    <row r="12" spans="1:26" s="73" customFormat="1">
      <c r="A12" s="149"/>
      <c r="B12" s="646"/>
      <c r="C12" s="615"/>
      <c r="D12" s="615"/>
      <c r="E12" s="615"/>
      <c r="F12" s="693"/>
      <c r="G12" s="615"/>
      <c r="H12" s="615"/>
      <c r="I12" s="615"/>
      <c r="J12" s="615"/>
      <c r="K12" s="615"/>
      <c r="L12" s="615"/>
      <c r="M12" s="615"/>
      <c r="N12" s="615"/>
      <c r="O12" s="615">
        <f>+C12-(SUM(D12:N12))</f>
        <v>0</v>
      </c>
      <c r="P12" s="281"/>
    </row>
    <row r="13" spans="1:26" s="73" customFormat="1">
      <c r="A13" s="149"/>
      <c r="B13" s="646"/>
      <c r="C13" s="615"/>
      <c r="D13" s="615"/>
      <c r="E13" s="615"/>
      <c r="F13" s="693"/>
      <c r="G13" s="615"/>
      <c r="H13" s="615"/>
      <c r="I13" s="615"/>
      <c r="J13" s="615"/>
      <c r="K13" s="615"/>
      <c r="L13" s="615"/>
      <c r="M13" s="615"/>
      <c r="N13" s="615"/>
      <c r="O13" s="615">
        <f t="shared" si="0"/>
        <v>0</v>
      </c>
      <c r="P13" s="281"/>
    </row>
    <row r="14" spans="1:26" s="73" customFormat="1">
      <c r="A14" s="149"/>
      <c r="B14" s="290"/>
      <c r="C14" s="615"/>
      <c r="D14" s="615"/>
      <c r="E14" s="615"/>
      <c r="F14" s="693"/>
      <c r="G14" s="615"/>
      <c r="H14" s="615"/>
      <c r="I14" s="615"/>
      <c r="J14" s="615"/>
      <c r="K14" s="615"/>
      <c r="L14" s="615"/>
      <c r="M14" s="615"/>
      <c r="N14" s="615"/>
      <c r="O14" s="615">
        <f t="shared" si="0"/>
        <v>0</v>
      </c>
      <c r="P14" s="281"/>
    </row>
    <row r="15" spans="1:26" s="73" customFormat="1">
      <c r="A15" s="149"/>
      <c r="B15" s="291"/>
      <c r="C15" s="614"/>
      <c r="D15" s="614"/>
      <c r="E15" s="614"/>
      <c r="F15" s="692"/>
      <c r="G15" s="614"/>
      <c r="H15" s="614"/>
      <c r="I15" s="614"/>
      <c r="J15" s="614"/>
      <c r="K15" s="614"/>
      <c r="L15" s="615"/>
      <c r="M15" s="615"/>
      <c r="N15" s="615"/>
      <c r="O15" s="614">
        <f t="shared" si="0"/>
        <v>0</v>
      </c>
      <c r="P15" s="281"/>
    </row>
    <row r="16" spans="1:26" s="73" customFormat="1" hidden="1">
      <c r="A16" s="149"/>
      <c r="B16" s="291"/>
      <c r="C16" s="614"/>
      <c r="D16" s="614"/>
      <c r="E16" s="614"/>
      <c r="F16" s="692"/>
      <c r="G16" s="614"/>
      <c r="H16" s="614"/>
      <c r="I16" s="614"/>
      <c r="J16" s="614"/>
      <c r="K16" s="614"/>
      <c r="L16" s="615"/>
      <c r="M16" s="615"/>
      <c r="N16" s="615"/>
      <c r="O16" s="614"/>
      <c r="P16" s="281"/>
    </row>
    <row r="17" spans="1:16" s="73" customFormat="1">
      <c r="A17" s="149"/>
      <c r="B17" s="292" t="s">
        <v>140</v>
      </c>
      <c r="C17" s="616">
        <f t="shared" ref="C17:N17" si="1">SUM(C8:C15)</f>
        <v>0</v>
      </c>
      <c r="D17" s="616">
        <f t="shared" si="1"/>
        <v>0</v>
      </c>
      <c r="E17" s="616">
        <f t="shared" si="1"/>
        <v>0</v>
      </c>
      <c r="F17" s="694">
        <f t="shared" si="1"/>
        <v>0</v>
      </c>
      <c r="G17" s="616">
        <f t="shared" si="1"/>
        <v>0</v>
      </c>
      <c r="H17" s="616">
        <f t="shared" si="1"/>
        <v>0</v>
      </c>
      <c r="I17" s="616">
        <f t="shared" si="1"/>
        <v>0</v>
      </c>
      <c r="J17" s="616">
        <f t="shared" si="1"/>
        <v>0</v>
      </c>
      <c r="K17" s="616">
        <f t="shared" si="1"/>
        <v>0</v>
      </c>
      <c r="L17" s="616">
        <f t="shared" si="1"/>
        <v>0</v>
      </c>
      <c r="M17" s="616">
        <f t="shared" si="1"/>
        <v>0</v>
      </c>
      <c r="N17" s="616">
        <f t="shared" si="1"/>
        <v>0</v>
      </c>
      <c r="O17" s="616">
        <f>SUM(O8:O15)</f>
        <v>0</v>
      </c>
      <c r="P17" s="281"/>
    </row>
    <row r="18" spans="1:16" s="73" customFormat="1" ht="13">
      <c r="A18" s="149"/>
      <c r="B18" s="160" t="s">
        <v>141</v>
      </c>
      <c r="C18" s="614"/>
      <c r="D18" s="614"/>
      <c r="E18" s="614"/>
      <c r="F18" s="692"/>
      <c r="G18" s="614"/>
      <c r="H18" s="614"/>
      <c r="I18" s="614"/>
      <c r="J18" s="614"/>
      <c r="K18" s="614"/>
      <c r="L18" s="614"/>
      <c r="M18" s="614"/>
      <c r="N18" s="614"/>
      <c r="O18" s="614"/>
      <c r="P18" s="281"/>
    </row>
    <row r="19" spans="1:16" s="73" customFormat="1">
      <c r="A19" s="149"/>
      <c r="B19" s="293" t="s">
        <v>142</v>
      </c>
      <c r="C19" s="615"/>
      <c r="D19" s="615"/>
      <c r="E19" s="615"/>
      <c r="F19" s="693"/>
      <c r="G19" s="615"/>
      <c r="H19" s="615"/>
      <c r="I19" s="615"/>
      <c r="J19" s="615"/>
      <c r="K19" s="615"/>
      <c r="L19" s="615"/>
      <c r="M19" s="615"/>
      <c r="N19" s="615"/>
      <c r="O19" s="615">
        <f t="shared" ref="O19:O27" si="2">+C19-(SUM(D19:N19))</f>
        <v>0</v>
      </c>
      <c r="P19" s="281"/>
    </row>
    <row r="20" spans="1:16" s="73" customFormat="1">
      <c r="A20" s="149"/>
      <c r="B20" s="293" t="s">
        <v>143</v>
      </c>
      <c r="C20" s="615"/>
      <c r="D20" s="615"/>
      <c r="E20" s="615"/>
      <c r="F20" s="693"/>
      <c r="G20" s="615"/>
      <c r="H20" s="615"/>
      <c r="I20" s="615"/>
      <c r="J20" s="615"/>
      <c r="K20" s="615"/>
      <c r="L20" s="615"/>
      <c r="M20" s="615"/>
      <c r="N20" s="615"/>
      <c r="O20" s="615">
        <f t="shared" si="2"/>
        <v>0</v>
      </c>
      <c r="P20" s="281"/>
    </row>
    <row r="21" spans="1:16" s="73" customFormat="1">
      <c r="A21" s="149"/>
      <c r="B21" s="293" t="s">
        <v>144</v>
      </c>
      <c r="C21" s="615"/>
      <c r="D21" s="615"/>
      <c r="E21" s="615"/>
      <c r="F21" s="693"/>
      <c r="G21" s="615"/>
      <c r="H21" s="615"/>
      <c r="I21" s="615"/>
      <c r="J21" s="615"/>
      <c r="K21" s="615"/>
      <c r="L21" s="615"/>
      <c r="M21" s="615"/>
      <c r="N21" s="615"/>
      <c r="O21" s="615">
        <f t="shared" si="2"/>
        <v>0</v>
      </c>
      <c r="P21" s="281"/>
    </row>
    <row r="22" spans="1:16" s="73" customFormat="1">
      <c r="A22" s="149"/>
      <c r="B22" s="293" t="s">
        <v>145</v>
      </c>
      <c r="C22" s="615"/>
      <c r="D22" s="615"/>
      <c r="E22" s="615"/>
      <c r="F22" s="693"/>
      <c r="G22" s="615"/>
      <c r="H22" s="615"/>
      <c r="I22" s="615"/>
      <c r="J22" s="615"/>
      <c r="K22" s="615"/>
      <c r="L22" s="615"/>
      <c r="M22" s="615"/>
      <c r="N22" s="615"/>
      <c r="O22" s="615">
        <f t="shared" si="2"/>
        <v>0</v>
      </c>
      <c r="P22" s="281"/>
    </row>
    <row r="23" spans="1:16" s="73" customFormat="1">
      <c r="A23" s="149"/>
      <c r="B23" s="294" t="s">
        <v>146</v>
      </c>
      <c r="C23" s="615"/>
      <c r="D23" s="615"/>
      <c r="E23" s="615"/>
      <c r="F23" s="693"/>
      <c r="G23" s="615"/>
      <c r="H23" s="615"/>
      <c r="I23" s="615"/>
      <c r="J23" s="615"/>
      <c r="K23" s="615"/>
      <c r="L23" s="615"/>
      <c r="M23" s="615"/>
      <c r="N23" s="615"/>
      <c r="O23" s="615">
        <f t="shared" si="2"/>
        <v>0</v>
      </c>
      <c r="P23" s="281"/>
    </row>
    <row r="24" spans="1:16" s="73" customFormat="1">
      <c r="A24" s="149"/>
      <c r="B24" s="294" t="s">
        <v>147</v>
      </c>
      <c r="C24" s="615"/>
      <c r="D24" s="615"/>
      <c r="E24" s="615"/>
      <c r="F24" s="693"/>
      <c r="G24" s="615"/>
      <c r="H24" s="615"/>
      <c r="I24" s="615"/>
      <c r="J24" s="615"/>
      <c r="K24" s="615"/>
      <c r="L24" s="615"/>
      <c r="M24" s="615"/>
      <c r="N24" s="615"/>
      <c r="O24" s="615">
        <f t="shared" si="2"/>
        <v>0</v>
      </c>
      <c r="P24" s="281"/>
    </row>
    <row r="25" spans="1:16" s="73" customFormat="1">
      <c r="A25" s="149"/>
      <c r="B25" s="295"/>
      <c r="C25" s="615"/>
      <c r="D25" s="615"/>
      <c r="E25" s="615"/>
      <c r="F25" s="693"/>
      <c r="G25" s="615"/>
      <c r="H25" s="615"/>
      <c r="I25" s="615"/>
      <c r="J25" s="615"/>
      <c r="K25" s="615"/>
      <c r="L25" s="615"/>
      <c r="M25" s="615"/>
      <c r="N25" s="615"/>
      <c r="O25" s="615">
        <f t="shared" si="2"/>
        <v>0</v>
      </c>
      <c r="P25" s="281"/>
    </row>
    <row r="26" spans="1:16" s="73" customFormat="1">
      <c r="A26" s="149"/>
      <c r="B26" s="296"/>
      <c r="C26" s="615"/>
      <c r="D26" s="615"/>
      <c r="E26" s="615"/>
      <c r="F26" s="693"/>
      <c r="G26" s="615"/>
      <c r="H26" s="615"/>
      <c r="I26" s="615"/>
      <c r="J26" s="615"/>
      <c r="K26" s="615"/>
      <c r="L26" s="615"/>
      <c r="M26" s="615"/>
      <c r="N26" s="615"/>
      <c r="O26" s="615">
        <f t="shared" si="2"/>
        <v>0</v>
      </c>
      <c r="P26" s="281"/>
    </row>
    <row r="27" spans="1:16" s="73" customFormat="1">
      <c r="A27" s="149"/>
      <c r="B27" s="297"/>
      <c r="C27" s="614"/>
      <c r="D27" s="614"/>
      <c r="E27" s="614"/>
      <c r="F27" s="692"/>
      <c r="G27" s="614"/>
      <c r="H27" s="614"/>
      <c r="I27" s="614"/>
      <c r="J27" s="614"/>
      <c r="K27" s="614"/>
      <c r="L27" s="615"/>
      <c r="M27" s="615"/>
      <c r="N27" s="615"/>
      <c r="O27" s="614">
        <f t="shared" si="2"/>
        <v>0</v>
      </c>
      <c r="P27" s="281"/>
    </row>
    <row r="28" spans="1:16" s="73" customFormat="1" hidden="1">
      <c r="A28" s="149"/>
      <c r="B28" s="297"/>
      <c r="C28" s="614"/>
      <c r="D28" s="614"/>
      <c r="E28" s="614"/>
      <c r="F28" s="692"/>
      <c r="G28" s="614"/>
      <c r="H28" s="614"/>
      <c r="I28" s="614"/>
      <c r="J28" s="614"/>
      <c r="K28" s="614"/>
      <c r="L28" s="615"/>
      <c r="M28" s="615"/>
      <c r="N28" s="615"/>
      <c r="O28" s="614"/>
      <c r="P28" s="281"/>
    </row>
    <row r="29" spans="1:16" s="73" customFormat="1">
      <c r="A29" s="149"/>
      <c r="B29" s="292" t="s">
        <v>148</v>
      </c>
      <c r="C29" s="616">
        <f t="shared" ref="C29:N29" si="3">SUM(C19:C27)</f>
        <v>0</v>
      </c>
      <c r="D29" s="616">
        <f t="shared" si="3"/>
        <v>0</v>
      </c>
      <c r="E29" s="616">
        <f t="shared" si="3"/>
        <v>0</v>
      </c>
      <c r="F29" s="694">
        <f t="shared" si="3"/>
        <v>0</v>
      </c>
      <c r="G29" s="616">
        <f t="shared" si="3"/>
        <v>0</v>
      </c>
      <c r="H29" s="616">
        <f t="shared" si="3"/>
        <v>0</v>
      </c>
      <c r="I29" s="616">
        <f t="shared" si="3"/>
        <v>0</v>
      </c>
      <c r="J29" s="616">
        <f t="shared" si="3"/>
        <v>0</v>
      </c>
      <c r="K29" s="616">
        <f t="shared" si="3"/>
        <v>0</v>
      </c>
      <c r="L29" s="616">
        <f t="shared" si="3"/>
        <v>0</v>
      </c>
      <c r="M29" s="616">
        <f t="shared" si="3"/>
        <v>0</v>
      </c>
      <c r="N29" s="616">
        <f t="shared" si="3"/>
        <v>0</v>
      </c>
      <c r="O29" s="616">
        <f>SUM(O19:O27)</f>
        <v>0</v>
      </c>
      <c r="P29" s="281"/>
    </row>
    <row r="30" spans="1:16" s="73" customFormat="1" ht="13">
      <c r="A30" s="149"/>
      <c r="B30" s="298" t="s">
        <v>124</v>
      </c>
      <c r="C30" s="614"/>
      <c r="D30" s="614"/>
      <c r="E30" s="614"/>
      <c r="F30" s="692"/>
      <c r="G30" s="614"/>
      <c r="H30" s="614"/>
      <c r="I30" s="614"/>
      <c r="J30" s="614"/>
      <c r="K30" s="614"/>
      <c r="L30" s="614"/>
      <c r="M30" s="614"/>
      <c r="N30" s="614"/>
      <c r="O30" s="614"/>
      <c r="P30" s="281"/>
    </row>
    <row r="31" spans="1:16" s="73" customFormat="1">
      <c r="A31" s="149"/>
      <c r="B31" s="299"/>
      <c r="C31" s="615"/>
      <c r="D31" s="615"/>
      <c r="E31" s="615"/>
      <c r="F31" s="693"/>
      <c r="G31" s="615"/>
      <c r="H31" s="615"/>
      <c r="I31" s="615"/>
      <c r="J31" s="615"/>
      <c r="K31" s="615"/>
      <c r="L31" s="615"/>
      <c r="M31" s="615"/>
      <c r="N31" s="615"/>
      <c r="O31" s="615">
        <f>+C31-(SUM(D31:N31))</f>
        <v>0</v>
      </c>
      <c r="P31" s="281"/>
    </row>
    <row r="32" spans="1:16" s="73" customFormat="1">
      <c r="A32" s="149"/>
      <c r="B32" s="299"/>
      <c r="C32" s="615"/>
      <c r="D32" s="615"/>
      <c r="E32" s="615"/>
      <c r="F32" s="693"/>
      <c r="G32" s="615"/>
      <c r="H32" s="615"/>
      <c r="I32" s="615"/>
      <c r="J32" s="615"/>
      <c r="K32" s="615"/>
      <c r="L32" s="615"/>
      <c r="M32" s="615"/>
      <c r="N32" s="615"/>
      <c r="O32" s="615">
        <f>+C32-(SUM(D32:N32))</f>
        <v>0</v>
      </c>
      <c r="P32" s="281"/>
    </row>
    <row r="33" spans="1:16" s="73" customFormat="1">
      <c r="A33" s="149"/>
      <c r="B33" s="299"/>
      <c r="C33" s="615"/>
      <c r="D33" s="615"/>
      <c r="E33" s="615"/>
      <c r="F33" s="693"/>
      <c r="G33" s="615"/>
      <c r="H33" s="615"/>
      <c r="I33" s="615"/>
      <c r="J33" s="615"/>
      <c r="K33" s="615"/>
      <c r="L33" s="615"/>
      <c r="M33" s="615"/>
      <c r="N33" s="615"/>
      <c r="O33" s="615">
        <f>+C33-(SUM(D33:N33))</f>
        <v>0</v>
      </c>
      <c r="P33" s="281"/>
    </row>
    <row r="34" spans="1:16" s="73" customFormat="1">
      <c r="A34" s="149"/>
      <c r="B34" s="300"/>
      <c r="C34" s="614"/>
      <c r="D34" s="614"/>
      <c r="E34" s="614"/>
      <c r="F34" s="692"/>
      <c r="G34" s="614"/>
      <c r="H34" s="614"/>
      <c r="I34" s="614"/>
      <c r="J34" s="614"/>
      <c r="K34" s="614"/>
      <c r="L34" s="615"/>
      <c r="M34" s="615"/>
      <c r="N34" s="615"/>
      <c r="O34" s="614">
        <f>+C34-(SUM(D34:N34))</f>
        <v>0</v>
      </c>
      <c r="P34" s="281"/>
    </row>
    <row r="35" spans="1:16" s="73" customFormat="1" hidden="1">
      <c r="A35" s="150"/>
      <c r="B35" s="301"/>
      <c r="C35" s="617"/>
      <c r="D35" s="617"/>
      <c r="E35" s="617"/>
      <c r="F35" s="695"/>
      <c r="G35" s="617"/>
      <c r="H35" s="617"/>
      <c r="I35" s="617"/>
      <c r="J35" s="617"/>
      <c r="K35" s="617"/>
      <c r="L35" s="618"/>
      <c r="M35" s="618"/>
      <c r="N35" s="618"/>
      <c r="O35" s="617"/>
      <c r="P35" s="281"/>
    </row>
    <row r="36" spans="1:16" s="73" customFormat="1">
      <c r="A36" s="149"/>
      <c r="B36" s="292" t="s">
        <v>149</v>
      </c>
      <c r="C36" s="616">
        <f t="shared" ref="C36:N36" si="4">SUM(C31:C34)</f>
        <v>0</v>
      </c>
      <c r="D36" s="616">
        <f t="shared" si="4"/>
        <v>0</v>
      </c>
      <c r="E36" s="616">
        <f t="shared" si="4"/>
        <v>0</v>
      </c>
      <c r="F36" s="694">
        <f t="shared" si="4"/>
        <v>0</v>
      </c>
      <c r="G36" s="616">
        <f t="shared" si="4"/>
        <v>0</v>
      </c>
      <c r="H36" s="616">
        <f t="shared" si="4"/>
        <v>0</v>
      </c>
      <c r="I36" s="616">
        <f t="shared" si="4"/>
        <v>0</v>
      </c>
      <c r="J36" s="616">
        <f t="shared" si="4"/>
        <v>0</v>
      </c>
      <c r="K36" s="616">
        <f t="shared" si="4"/>
        <v>0</v>
      </c>
      <c r="L36" s="616">
        <f t="shared" si="4"/>
        <v>0</v>
      </c>
      <c r="M36" s="616">
        <f t="shared" si="4"/>
        <v>0</v>
      </c>
      <c r="N36" s="616">
        <f t="shared" si="4"/>
        <v>0</v>
      </c>
      <c r="O36" s="616">
        <f>SUM(O31:O34)</f>
        <v>0</v>
      </c>
      <c r="P36" s="281"/>
    </row>
    <row r="37" spans="1:16" s="73" customFormat="1" ht="13">
      <c r="A37" s="149"/>
      <c r="B37" s="71" t="s">
        <v>150</v>
      </c>
      <c r="C37" s="616">
        <f t="shared" ref="C37:N37" si="5">+C17+C29+C36</f>
        <v>0</v>
      </c>
      <c r="D37" s="616">
        <f t="shared" si="5"/>
        <v>0</v>
      </c>
      <c r="E37" s="616">
        <f t="shared" si="5"/>
        <v>0</v>
      </c>
      <c r="F37" s="694">
        <f t="shared" si="5"/>
        <v>0</v>
      </c>
      <c r="G37" s="616">
        <f t="shared" si="5"/>
        <v>0</v>
      </c>
      <c r="H37" s="616">
        <f t="shared" si="5"/>
        <v>0</v>
      </c>
      <c r="I37" s="616">
        <f t="shared" si="5"/>
        <v>0</v>
      </c>
      <c r="J37" s="616">
        <f t="shared" si="5"/>
        <v>0</v>
      </c>
      <c r="K37" s="616">
        <f t="shared" si="5"/>
        <v>0</v>
      </c>
      <c r="L37" s="616">
        <f t="shared" si="5"/>
        <v>0</v>
      </c>
      <c r="M37" s="616">
        <f t="shared" si="5"/>
        <v>0</v>
      </c>
      <c r="N37" s="616">
        <f t="shared" si="5"/>
        <v>0</v>
      </c>
      <c r="O37" s="616">
        <f>SUM(O36,O29,O17)</f>
        <v>0</v>
      </c>
      <c r="P37" s="281"/>
    </row>
    <row r="38" spans="1:16" s="73" customFormat="1" ht="13">
      <c r="A38" s="151"/>
      <c r="B38" s="724" t="s">
        <v>231</v>
      </c>
      <c r="C38" s="725"/>
      <c r="D38" s="725"/>
      <c r="E38" s="725"/>
      <c r="F38" s="725"/>
      <c r="G38" s="725"/>
      <c r="H38" s="725"/>
      <c r="I38" s="725"/>
      <c r="J38" s="725"/>
      <c r="K38" s="261"/>
      <c r="L38" s="261"/>
      <c r="M38" s="261"/>
      <c r="N38" s="261"/>
      <c r="O38" s="262"/>
      <c r="P38" s="281"/>
    </row>
    <row r="39" spans="1:16" s="73" customFormat="1" ht="13">
      <c r="A39" s="149"/>
      <c r="B39" s="289" t="s">
        <v>125</v>
      </c>
      <c r="C39" s="72"/>
      <c r="D39" s="72"/>
      <c r="E39" s="72"/>
      <c r="F39" s="696"/>
      <c r="G39" s="72"/>
      <c r="H39" s="72"/>
      <c r="I39" s="72"/>
      <c r="J39" s="72"/>
      <c r="K39" s="72"/>
      <c r="L39" s="72"/>
      <c r="M39" s="72"/>
      <c r="N39" s="72"/>
      <c r="O39" s="72"/>
      <c r="P39" s="281"/>
    </row>
    <row r="40" spans="1:16" s="73" customFormat="1">
      <c r="A40" s="149"/>
      <c r="B40" s="290"/>
      <c r="C40" s="615"/>
      <c r="D40" s="615"/>
      <c r="E40" s="615"/>
      <c r="F40" s="693"/>
      <c r="G40" s="615"/>
      <c r="H40" s="615"/>
      <c r="I40" s="615"/>
      <c r="J40" s="615"/>
      <c r="K40" s="615"/>
      <c r="L40" s="615"/>
      <c r="M40" s="615"/>
      <c r="N40" s="615"/>
      <c r="O40" s="615">
        <f>+C40-(SUM(D40:N40))</f>
        <v>0</v>
      </c>
      <c r="P40" s="281"/>
    </row>
    <row r="41" spans="1:16" s="73" customFormat="1">
      <c r="A41" s="149"/>
      <c r="B41" s="296"/>
      <c r="C41" s="615"/>
      <c r="D41" s="615"/>
      <c r="E41" s="615"/>
      <c r="F41" s="693"/>
      <c r="G41" s="615"/>
      <c r="H41" s="615"/>
      <c r="I41" s="615"/>
      <c r="J41" s="615"/>
      <c r="K41" s="615"/>
      <c r="L41" s="615"/>
      <c r="M41" s="615"/>
      <c r="N41" s="615"/>
      <c r="O41" s="615">
        <f>+C41-(SUM(D41:N41))</f>
        <v>0</v>
      </c>
      <c r="P41" s="281"/>
    </row>
    <row r="42" spans="1:16" s="73" customFormat="1" hidden="1">
      <c r="A42" s="149"/>
      <c r="B42" s="291"/>
      <c r="C42" s="614"/>
      <c r="D42" s="614"/>
      <c r="E42" s="614"/>
      <c r="F42" s="692"/>
      <c r="G42" s="614"/>
      <c r="H42" s="614"/>
      <c r="I42" s="614"/>
      <c r="J42" s="614"/>
      <c r="K42" s="614"/>
      <c r="L42" s="615"/>
      <c r="M42" s="615"/>
      <c r="N42" s="615"/>
      <c r="O42" s="615"/>
      <c r="P42" s="281"/>
    </row>
    <row r="43" spans="1:16" s="73" customFormat="1">
      <c r="A43" s="149"/>
      <c r="B43" s="292" t="s">
        <v>226</v>
      </c>
      <c r="C43" s="616">
        <f t="shared" ref="C43:N43" si="6">SUM(C40:C41)</f>
        <v>0</v>
      </c>
      <c r="D43" s="616">
        <f t="shared" si="6"/>
        <v>0</v>
      </c>
      <c r="E43" s="616">
        <f t="shared" si="6"/>
        <v>0</v>
      </c>
      <c r="F43" s="694">
        <f t="shared" si="6"/>
        <v>0</v>
      </c>
      <c r="G43" s="616">
        <f t="shared" si="6"/>
        <v>0</v>
      </c>
      <c r="H43" s="616">
        <f t="shared" si="6"/>
        <v>0</v>
      </c>
      <c r="I43" s="616">
        <f t="shared" si="6"/>
        <v>0</v>
      </c>
      <c r="J43" s="616">
        <f t="shared" si="6"/>
        <v>0</v>
      </c>
      <c r="K43" s="616">
        <f t="shared" si="6"/>
        <v>0</v>
      </c>
      <c r="L43" s="616">
        <f t="shared" si="6"/>
        <v>0</v>
      </c>
      <c r="M43" s="616">
        <f t="shared" si="6"/>
        <v>0</v>
      </c>
      <c r="N43" s="616">
        <f t="shared" si="6"/>
        <v>0</v>
      </c>
      <c r="O43" s="616">
        <f>SUM(O40:O41)</f>
        <v>0</v>
      </c>
      <c r="P43" s="281"/>
    </row>
    <row r="44" spans="1:16" s="73" customFormat="1" ht="13">
      <c r="A44" s="150"/>
      <c r="B44" s="160" t="s">
        <v>126</v>
      </c>
      <c r="C44" s="614"/>
      <c r="D44" s="614"/>
      <c r="E44" s="614"/>
      <c r="F44" s="692"/>
      <c r="G44" s="614"/>
      <c r="H44" s="614"/>
      <c r="I44" s="614"/>
      <c r="J44" s="614"/>
      <c r="K44" s="614"/>
      <c r="L44" s="614"/>
      <c r="M44" s="614"/>
      <c r="N44" s="614"/>
      <c r="O44" s="614"/>
      <c r="P44" s="281"/>
    </row>
    <row r="45" spans="1:16" s="73" customFormat="1">
      <c r="A45" s="150"/>
      <c r="B45" s="302"/>
      <c r="C45" s="615"/>
      <c r="D45" s="615"/>
      <c r="E45" s="619"/>
      <c r="F45" s="697"/>
      <c r="G45" s="615"/>
      <c r="H45" s="615"/>
      <c r="I45" s="615"/>
      <c r="J45" s="615"/>
      <c r="K45" s="615"/>
      <c r="L45" s="615"/>
      <c r="M45" s="615"/>
      <c r="N45" s="615"/>
      <c r="O45" s="615">
        <f>+C45-(SUM(D45:N45))</f>
        <v>0</v>
      </c>
      <c r="P45" s="281"/>
    </row>
    <row r="46" spans="1:16" s="73" customFormat="1">
      <c r="A46" s="150"/>
      <c r="B46" s="302"/>
      <c r="C46" s="615"/>
      <c r="D46" s="615"/>
      <c r="E46" s="619"/>
      <c r="F46" s="697"/>
      <c r="G46" s="615"/>
      <c r="H46" s="615"/>
      <c r="I46" s="615"/>
      <c r="J46" s="615"/>
      <c r="K46" s="615"/>
      <c r="L46" s="615"/>
      <c r="M46" s="620"/>
      <c r="N46" s="620"/>
      <c r="O46" s="615">
        <f>+C46-(SUM(D46:N46))</f>
        <v>0</v>
      </c>
      <c r="P46" s="281"/>
    </row>
    <row r="47" spans="1:16" s="73" customFormat="1" hidden="1">
      <c r="A47" s="150"/>
      <c r="B47" s="205"/>
      <c r="C47" s="614"/>
      <c r="D47" s="614"/>
      <c r="E47" s="619"/>
      <c r="F47" s="697"/>
      <c r="G47" s="614"/>
      <c r="H47" s="614"/>
      <c r="I47" s="614"/>
      <c r="J47" s="614"/>
      <c r="K47" s="614"/>
      <c r="L47" s="615"/>
      <c r="M47" s="615"/>
      <c r="N47" s="615"/>
      <c r="O47" s="615"/>
      <c r="P47" s="281"/>
    </row>
    <row r="48" spans="1:16" s="73" customFormat="1">
      <c r="A48" s="149"/>
      <c r="B48" s="292" t="s">
        <v>151</v>
      </c>
      <c r="C48" s="616">
        <f t="shared" ref="C48:N48" si="7">SUM(C45:C46)</f>
        <v>0</v>
      </c>
      <c r="D48" s="616">
        <f t="shared" si="7"/>
        <v>0</v>
      </c>
      <c r="E48" s="616">
        <f t="shared" si="7"/>
        <v>0</v>
      </c>
      <c r="F48" s="694">
        <f t="shared" si="7"/>
        <v>0</v>
      </c>
      <c r="G48" s="616">
        <f t="shared" si="7"/>
        <v>0</v>
      </c>
      <c r="H48" s="616">
        <f t="shared" si="7"/>
        <v>0</v>
      </c>
      <c r="I48" s="616">
        <f t="shared" si="7"/>
        <v>0</v>
      </c>
      <c r="J48" s="616">
        <f t="shared" si="7"/>
        <v>0</v>
      </c>
      <c r="K48" s="616">
        <f t="shared" si="7"/>
        <v>0</v>
      </c>
      <c r="L48" s="616">
        <f t="shared" si="7"/>
        <v>0</v>
      </c>
      <c r="M48" s="616">
        <f t="shared" si="7"/>
        <v>0</v>
      </c>
      <c r="N48" s="616">
        <f t="shared" si="7"/>
        <v>0</v>
      </c>
      <c r="O48" s="616">
        <f>SUM(O45:O46)</f>
        <v>0</v>
      </c>
      <c r="P48" s="281"/>
    </row>
    <row r="49" spans="1:16" s="73" customFormat="1" ht="13">
      <c r="A49" s="150"/>
      <c r="B49" s="160" t="s">
        <v>127</v>
      </c>
      <c r="C49" s="614"/>
      <c r="D49" s="614"/>
      <c r="E49" s="614"/>
      <c r="F49" s="692"/>
      <c r="G49" s="614"/>
      <c r="H49" s="614"/>
      <c r="I49" s="614"/>
      <c r="J49" s="614"/>
      <c r="K49" s="614"/>
      <c r="L49" s="614"/>
      <c r="M49" s="614"/>
      <c r="N49" s="614"/>
      <c r="O49" s="614"/>
      <c r="P49" s="281"/>
    </row>
    <row r="50" spans="1:16" s="73" customFormat="1">
      <c r="A50" s="150"/>
      <c r="B50" s="303"/>
      <c r="C50" s="615"/>
      <c r="D50" s="615"/>
      <c r="E50" s="615"/>
      <c r="F50" s="693"/>
      <c r="G50" s="615"/>
      <c r="H50" s="615"/>
      <c r="I50" s="615"/>
      <c r="J50" s="615"/>
      <c r="K50" s="615"/>
      <c r="L50" s="615"/>
      <c r="M50" s="615"/>
      <c r="N50" s="615"/>
      <c r="O50" s="615">
        <f>+C50-(SUM(D50:N50))</f>
        <v>0</v>
      </c>
      <c r="P50" s="281"/>
    </row>
    <row r="51" spans="1:16" s="73" customFormat="1">
      <c r="A51" s="150"/>
      <c r="B51" s="303"/>
      <c r="C51" s="615"/>
      <c r="D51" s="615"/>
      <c r="E51" s="615"/>
      <c r="F51" s="693"/>
      <c r="G51" s="615"/>
      <c r="H51" s="615"/>
      <c r="I51" s="615"/>
      <c r="J51" s="615"/>
      <c r="K51" s="615"/>
      <c r="L51" s="615"/>
      <c r="M51" s="615"/>
      <c r="N51" s="615"/>
      <c r="O51" s="615">
        <f>+C51-(SUM(D51:N51))</f>
        <v>0</v>
      </c>
      <c r="P51" s="281"/>
    </row>
    <row r="52" spans="1:16" s="73" customFormat="1" hidden="1">
      <c r="A52" s="150"/>
      <c r="B52" s="304"/>
      <c r="C52" s="615"/>
      <c r="D52" s="615"/>
      <c r="E52" s="615"/>
      <c r="F52" s="693"/>
      <c r="G52" s="615"/>
      <c r="H52" s="615"/>
      <c r="I52" s="615"/>
      <c r="J52" s="615"/>
      <c r="K52" s="615"/>
      <c r="L52" s="615"/>
      <c r="M52" s="615"/>
      <c r="N52" s="615"/>
      <c r="O52" s="615"/>
      <c r="P52" s="281"/>
    </row>
    <row r="53" spans="1:16" s="73" customFormat="1">
      <c r="A53" s="149"/>
      <c r="B53" s="292" t="s">
        <v>152</v>
      </c>
      <c r="C53" s="616">
        <f t="shared" ref="C53:N53" si="8">SUM(C50:C51)</f>
        <v>0</v>
      </c>
      <c r="D53" s="616">
        <f t="shared" si="8"/>
        <v>0</v>
      </c>
      <c r="E53" s="616">
        <f t="shared" si="8"/>
        <v>0</v>
      </c>
      <c r="F53" s="694">
        <f t="shared" si="8"/>
        <v>0</v>
      </c>
      <c r="G53" s="616">
        <f t="shared" si="8"/>
        <v>0</v>
      </c>
      <c r="H53" s="616">
        <f t="shared" si="8"/>
        <v>0</v>
      </c>
      <c r="I53" s="616">
        <f t="shared" si="8"/>
        <v>0</v>
      </c>
      <c r="J53" s="616">
        <f t="shared" si="8"/>
        <v>0</v>
      </c>
      <c r="K53" s="616">
        <f t="shared" si="8"/>
        <v>0</v>
      </c>
      <c r="L53" s="616">
        <f t="shared" si="8"/>
        <v>0</v>
      </c>
      <c r="M53" s="616">
        <f t="shared" si="8"/>
        <v>0</v>
      </c>
      <c r="N53" s="616">
        <f t="shared" si="8"/>
        <v>0</v>
      </c>
      <c r="O53" s="616">
        <f>SUM(O50:O51)</f>
        <v>0</v>
      </c>
      <c r="P53" s="281"/>
    </row>
    <row r="54" spans="1:16" s="73" customFormat="1" ht="13">
      <c r="A54" s="150"/>
      <c r="B54" s="305" t="s">
        <v>153</v>
      </c>
      <c r="C54" s="617">
        <f t="shared" ref="C54:O54" si="9">SUM(C53,C48,C43)</f>
        <v>0</v>
      </c>
      <c r="D54" s="617">
        <f t="shared" si="9"/>
        <v>0</v>
      </c>
      <c r="E54" s="617">
        <f t="shared" si="9"/>
        <v>0</v>
      </c>
      <c r="F54" s="695">
        <f t="shared" si="9"/>
        <v>0</v>
      </c>
      <c r="G54" s="617">
        <f t="shared" si="9"/>
        <v>0</v>
      </c>
      <c r="H54" s="617">
        <f t="shared" si="9"/>
        <v>0</v>
      </c>
      <c r="I54" s="617">
        <f t="shared" si="9"/>
        <v>0</v>
      </c>
      <c r="J54" s="617">
        <f t="shared" si="9"/>
        <v>0</v>
      </c>
      <c r="K54" s="617">
        <f t="shared" si="9"/>
        <v>0</v>
      </c>
      <c r="L54" s="617">
        <f t="shared" si="9"/>
        <v>0</v>
      </c>
      <c r="M54" s="617">
        <f t="shared" si="9"/>
        <v>0</v>
      </c>
      <c r="N54" s="617">
        <f t="shared" si="9"/>
        <v>0</v>
      </c>
      <c r="O54" s="617">
        <f t="shared" si="9"/>
        <v>0</v>
      </c>
      <c r="P54" s="281"/>
    </row>
    <row r="55" spans="1:16" s="73" customFormat="1" ht="13">
      <c r="A55" s="151"/>
      <c r="B55" s="724" t="s">
        <v>232</v>
      </c>
      <c r="C55" s="725"/>
      <c r="D55" s="725"/>
      <c r="E55" s="725"/>
      <c r="F55" s="725"/>
      <c r="G55" s="725"/>
      <c r="H55" s="725"/>
      <c r="I55" s="725"/>
      <c r="J55" s="725"/>
      <c r="K55" s="261"/>
      <c r="L55" s="261"/>
      <c r="M55" s="261"/>
      <c r="N55" s="261"/>
      <c r="O55" s="262"/>
      <c r="P55" s="281"/>
    </row>
    <row r="56" spans="1:16" s="73" customFormat="1" ht="13">
      <c r="A56" s="149"/>
      <c r="B56" s="289" t="s">
        <v>20</v>
      </c>
      <c r="C56" s="614"/>
      <c r="D56" s="614"/>
      <c r="E56" s="614"/>
      <c r="F56" s="692"/>
      <c r="G56" s="614"/>
      <c r="H56" s="614"/>
      <c r="I56" s="614"/>
      <c r="J56" s="614"/>
      <c r="K56" s="614"/>
      <c r="L56" s="614"/>
      <c r="M56" s="614"/>
      <c r="N56" s="614"/>
      <c r="O56" s="614"/>
      <c r="P56" s="281"/>
    </row>
    <row r="57" spans="1:16" s="73" customFormat="1">
      <c r="A57" s="149"/>
      <c r="B57" s="290"/>
      <c r="C57" s="615"/>
      <c r="D57" s="615"/>
      <c r="E57" s="619"/>
      <c r="F57" s="697"/>
      <c r="G57" s="615"/>
      <c r="H57" s="615"/>
      <c r="I57" s="615"/>
      <c r="J57" s="615"/>
      <c r="K57" s="615"/>
      <c r="L57" s="615"/>
      <c r="M57" s="615"/>
      <c r="N57" s="615"/>
      <c r="O57" s="615">
        <f>+C57-(SUM(D57:N57))</f>
        <v>0</v>
      </c>
      <c r="P57" s="281"/>
    </row>
    <row r="58" spans="1:16" s="73" customFormat="1" ht="13">
      <c r="A58" s="149"/>
      <c r="B58" s="306"/>
      <c r="C58" s="615"/>
      <c r="D58" s="615"/>
      <c r="E58" s="619"/>
      <c r="F58" s="697"/>
      <c r="G58" s="615"/>
      <c r="H58" s="615"/>
      <c r="I58" s="615"/>
      <c r="J58" s="615"/>
      <c r="K58" s="615"/>
      <c r="L58" s="615"/>
      <c r="M58" s="615"/>
      <c r="N58" s="615"/>
      <c r="O58" s="615">
        <f>+C58-(SUM(D58:N58))</f>
        <v>0</v>
      </c>
      <c r="P58" s="281"/>
    </row>
    <row r="59" spans="1:16" s="73" customFormat="1" ht="13">
      <c r="A59" s="149"/>
      <c r="B59" s="306"/>
      <c r="C59" s="615"/>
      <c r="D59" s="615"/>
      <c r="E59" s="619"/>
      <c r="F59" s="697"/>
      <c r="G59" s="615"/>
      <c r="H59" s="615"/>
      <c r="I59" s="615"/>
      <c r="J59" s="615"/>
      <c r="K59" s="615"/>
      <c r="L59" s="615"/>
      <c r="M59" s="615"/>
      <c r="N59" s="615"/>
      <c r="O59" s="615">
        <f>+C59-(SUM(D59:N59))</f>
        <v>0</v>
      </c>
      <c r="P59" s="281"/>
    </row>
    <row r="60" spans="1:16" s="73" customFormat="1" ht="13" hidden="1">
      <c r="A60" s="149"/>
      <c r="B60" s="289"/>
      <c r="C60" s="614"/>
      <c r="D60" s="614"/>
      <c r="E60" s="619"/>
      <c r="F60" s="697"/>
      <c r="G60" s="614"/>
      <c r="H60" s="614"/>
      <c r="I60" s="614"/>
      <c r="J60" s="614"/>
      <c r="K60" s="614"/>
      <c r="L60" s="615"/>
      <c r="M60" s="615"/>
      <c r="N60" s="615"/>
      <c r="O60" s="614"/>
      <c r="P60" s="281"/>
    </row>
    <row r="61" spans="1:16" s="73" customFormat="1">
      <c r="A61" s="149"/>
      <c r="B61" s="292" t="s">
        <v>173</v>
      </c>
      <c r="C61" s="616">
        <f t="shared" ref="C61:N61" si="10">SUM(C57:C59)</f>
        <v>0</v>
      </c>
      <c r="D61" s="616">
        <f t="shared" si="10"/>
        <v>0</v>
      </c>
      <c r="E61" s="616">
        <f t="shared" si="10"/>
        <v>0</v>
      </c>
      <c r="F61" s="694">
        <f t="shared" si="10"/>
        <v>0</v>
      </c>
      <c r="G61" s="616">
        <f t="shared" si="10"/>
        <v>0</v>
      </c>
      <c r="H61" s="616">
        <f t="shared" si="10"/>
        <v>0</v>
      </c>
      <c r="I61" s="616">
        <f t="shared" si="10"/>
        <v>0</v>
      </c>
      <c r="J61" s="616">
        <f t="shared" si="10"/>
        <v>0</v>
      </c>
      <c r="K61" s="616">
        <f t="shared" si="10"/>
        <v>0</v>
      </c>
      <c r="L61" s="616">
        <f t="shared" si="10"/>
        <v>0</v>
      </c>
      <c r="M61" s="616">
        <f t="shared" si="10"/>
        <v>0</v>
      </c>
      <c r="N61" s="616">
        <f t="shared" si="10"/>
        <v>0</v>
      </c>
      <c r="O61" s="616">
        <f>SUM(O57:O59)</f>
        <v>0</v>
      </c>
      <c r="P61" s="281"/>
    </row>
    <row r="62" spans="1:16" s="73" customFormat="1" ht="13">
      <c r="A62" s="150"/>
      <c r="B62" s="289" t="s">
        <v>243</v>
      </c>
      <c r="C62" s="614"/>
      <c r="D62" s="614"/>
      <c r="E62" s="614"/>
      <c r="F62" s="692"/>
      <c r="G62" s="614"/>
      <c r="H62" s="614"/>
      <c r="I62" s="614"/>
      <c r="J62" s="614"/>
      <c r="K62" s="614"/>
      <c r="L62" s="614"/>
      <c r="M62" s="614"/>
      <c r="N62" s="614"/>
      <c r="O62" s="614"/>
      <c r="P62" s="281"/>
    </row>
    <row r="63" spans="1:16" s="73" customFormat="1">
      <c r="A63" s="150"/>
      <c r="B63" s="551" t="s">
        <v>242</v>
      </c>
      <c r="C63" s="615"/>
      <c r="D63" s="615"/>
      <c r="E63" s="619"/>
      <c r="F63" s="697"/>
      <c r="G63" s="615"/>
      <c r="H63" s="615"/>
      <c r="I63" s="615"/>
      <c r="J63" s="615"/>
      <c r="K63" s="615"/>
      <c r="L63" s="615"/>
      <c r="M63" s="615"/>
      <c r="N63" s="615"/>
      <c r="O63" s="615">
        <f t="shared" ref="O63:O66" si="11">+C63-(SUM(D63:N63))</f>
        <v>0</v>
      </c>
      <c r="P63" s="281"/>
    </row>
    <row r="64" spans="1:16" s="73" customFormat="1">
      <c r="A64" s="150"/>
      <c r="B64" s="551" t="s">
        <v>382</v>
      </c>
      <c r="C64" s="615"/>
      <c r="D64" s="615"/>
      <c r="E64" s="619"/>
      <c r="F64" s="697"/>
      <c r="G64" s="615"/>
      <c r="H64" s="615"/>
      <c r="I64" s="615"/>
      <c r="J64" s="615"/>
      <c r="K64" s="615"/>
      <c r="L64" s="615"/>
      <c r="M64" s="615"/>
      <c r="N64" s="615"/>
      <c r="O64" s="615">
        <f t="shared" si="11"/>
        <v>0</v>
      </c>
      <c r="P64" s="281"/>
    </row>
    <row r="65" spans="1:16" s="73" customFormat="1">
      <c r="A65" s="150"/>
      <c r="B65" s="551" t="s">
        <v>383</v>
      </c>
      <c r="C65" s="615"/>
      <c r="D65" s="615"/>
      <c r="E65" s="619"/>
      <c r="F65" s="697"/>
      <c r="G65" s="615"/>
      <c r="H65" s="615"/>
      <c r="I65" s="615"/>
      <c r="J65" s="615"/>
      <c r="K65" s="615"/>
      <c r="L65" s="615"/>
      <c r="M65" s="615"/>
      <c r="N65" s="615"/>
      <c r="O65" s="615">
        <f t="shared" si="11"/>
        <v>0</v>
      </c>
      <c r="P65" s="281"/>
    </row>
    <row r="66" spans="1:16" s="73" customFormat="1">
      <c r="A66" s="150"/>
      <c r="B66" s="307" t="s">
        <v>386</v>
      </c>
      <c r="C66" s="615"/>
      <c r="D66" s="615"/>
      <c r="E66" s="619"/>
      <c r="F66" s="697"/>
      <c r="G66" s="615"/>
      <c r="H66" s="615"/>
      <c r="I66" s="615"/>
      <c r="J66" s="615"/>
      <c r="K66" s="615"/>
      <c r="L66" s="615"/>
      <c r="M66" s="615"/>
      <c r="N66" s="615"/>
      <c r="O66" s="615">
        <f t="shared" si="11"/>
        <v>0</v>
      </c>
      <c r="P66" s="281"/>
    </row>
    <row r="67" spans="1:16" s="73" customFormat="1" ht="13" hidden="1">
      <c r="A67" s="150"/>
      <c r="B67" s="289"/>
      <c r="C67" s="614"/>
      <c r="D67" s="614"/>
      <c r="E67" s="619"/>
      <c r="F67" s="697"/>
      <c r="G67" s="614"/>
      <c r="H67" s="614"/>
      <c r="I67" s="614"/>
      <c r="J67" s="614"/>
      <c r="K67" s="614"/>
      <c r="L67" s="615"/>
      <c r="M67" s="615"/>
      <c r="N67" s="615"/>
      <c r="O67" s="614"/>
      <c r="P67" s="281"/>
    </row>
    <row r="68" spans="1:16" s="73" customFormat="1">
      <c r="A68" s="149"/>
      <c r="B68" s="308" t="s">
        <v>244</v>
      </c>
      <c r="C68" s="616">
        <f t="shared" ref="C68:N68" si="12">SUM(C63:C66)</f>
        <v>0</v>
      </c>
      <c r="D68" s="616">
        <f t="shared" si="12"/>
        <v>0</v>
      </c>
      <c r="E68" s="616">
        <f t="shared" si="12"/>
        <v>0</v>
      </c>
      <c r="F68" s="694">
        <f t="shared" si="12"/>
        <v>0</v>
      </c>
      <c r="G68" s="616">
        <f t="shared" si="12"/>
        <v>0</v>
      </c>
      <c r="H68" s="616">
        <f t="shared" si="12"/>
        <v>0</v>
      </c>
      <c r="I68" s="616">
        <f t="shared" si="12"/>
        <v>0</v>
      </c>
      <c r="J68" s="616">
        <f t="shared" si="12"/>
        <v>0</v>
      </c>
      <c r="K68" s="616">
        <f t="shared" si="12"/>
        <v>0</v>
      </c>
      <c r="L68" s="616">
        <f t="shared" si="12"/>
        <v>0</v>
      </c>
      <c r="M68" s="616">
        <f t="shared" si="12"/>
        <v>0</v>
      </c>
      <c r="N68" s="616">
        <f t="shared" si="12"/>
        <v>0</v>
      </c>
      <c r="O68" s="616">
        <f>SUM(O63:O66)</f>
        <v>0</v>
      </c>
      <c r="P68" s="281"/>
    </row>
    <row r="69" spans="1:16" s="73" customFormat="1" ht="13">
      <c r="A69" s="150"/>
      <c r="B69" s="289" t="s">
        <v>21</v>
      </c>
      <c r="C69" s="614"/>
      <c r="D69" s="614"/>
      <c r="E69" s="614"/>
      <c r="F69" s="692"/>
      <c r="G69" s="614"/>
      <c r="H69" s="614"/>
      <c r="I69" s="614"/>
      <c r="J69" s="614"/>
      <c r="K69" s="614"/>
      <c r="L69" s="614"/>
      <c r="M69" s="614"/>
      <c r="N69" s="614"/>
      <c r="O69" s="614"/>
      <c r="P69" s="281"/>
    </row>
    <row r="70" spans="1:16" s="73" customFormat="1" ht="13">
      <c r="A70" s="150"/>
      <c r="B70" s="306"/>
      <c r="C70" s="615"/>
      <c r="D70" s="615"/>
      <c r="E70" s="619"/>
      <c r="F70" s="697"/>
      <c r="G70" s="615"/>
      <c r="H70" s="615"/>
      <c r="I70" s="615"/>
      <c r="J70" s="615"/>
      <c r="K70" s="615"/>
      <c r="L70" s="615"/>
      <c r="M70" s="615"/>
      <c r="N70" s="615"/>
      <c r="O70" s="615">
        <f>+C70-(SUM(D70:N70))</f>
        <v>0</v>
      </c>
      <c r="P70" s="281"/>
    </row>
    <row r="71" spans="1:16" s="73" customFormat="1" ht="13">
      <c r="A71" s="150"/>
      <c r="B71" s="306"/>
      <c r="C71" s="615"/>
      <c r="D71" s="615"/>
      <c r="E71" s="619"/>
      <c r="F71" s="697"/>
      <c r="G71" s="615"/>
      <c r="H71" s="615"/>
      <c r="I71" s="615"/>
      <c r="J71" s="615"/>
      <c r="K71" s="615"/>
      <c r="L71" s="615"/>
      <c r="M71" s="615"/>
      <c r="N71" s="615"/>
      <c r="O71" s="615">
        <f>+C71-(SUM(D71:N71))</f>
        <v>0</v>
      </c>
      <c r="P71" s="281"/>
    </row>
    <row r="72" spans="1:16" s="73" customFormat="1" ht="13" hidden="1">
      <c r="A72" s="150"/>
      <c r="B72" s="289"/>
      <c r="C72" s="614"/>
      <c r="D72" s="614"/>
      <c r="E72" s="619"/>
      <c r="F72" s="697"/>
      <c r="G72" s="614"/>
      <c r="H72" s="614"/>
      <c r="I72" s="614"/>
      <c r="J72" s="614"/>
      <c r="K72" s="614"/>
      <c r="L72" s="615"/>
      <c r="M72" s="615"/>
      <c r="N72" s="615"/>
      <c r="O72" s="614"/>
      <c r="P72" s="281"/>
    </row>
    <row r="73" spans="1:16" s="73" customFormat="1">
      <c r="A73" s="149"/>
      <c r="B73" s="292" t="s">
        <v>174</v>
      </c>
      <c r="C73" s="616">
        <f t="shared" ref="C73:N73" si="13">SUM(C70:C71)</f>
        <v>0</v>
      </c>
      <c r="D73" s="616">
        <f t="shared" si="13"/>
        <v>0</v>
      </c>
      <c r="E73" s="616">
        <f t="shared" si="13"/>
        <v>0</v>
      </c>
      <c r="F73" s="694">
        <f t="shared" si="13"/>
        <v>0</v>
      </c>
      <c r="G73" s="616">
        <f t="shared" si="13"/>
        <v>0</v>
      </c>
      <c r="H73" s="616">
        <f t="shared" si="13"/>
        <v>0</v>
      </c>
      <c r="I73" s="616">
        <f t="shared" si="13"/>
        <v>0</v>
      </c>
      <c r="J73" s="616">
        <f t="shared" si="13"/>
        <v>0</v>
      </c>
      <c r="K73" s="616">
        <f t="shared" si="13"/>
        <v>0</v>
      </c>
      <c r="L73" s="616">
        <f t="shared" si="13"/>
        <v>0</v>
      </c>
      <c r="M73" s="616">
        <f t="shared" si="13"/>
        <v>0</v>
      </c>
      <c r="N73" s="616">
        <f t="shared" si="13"/>
        <v>0</v>
      </c>
      <c r="O73" s="616">
        <f>SUM(O70:O71)</f>
        <v>0</v>
      </c>
      <c r="P73" s="281"/>
    </row>
    <row r="74" spans="1:16" s="73" customFormat="1" ht="13">
      <c r="A74" s="150"/>
      <c r="B74" s="289" t="s">
        <v>128</v>
      </c>
      <c r="C74" s="614"/>
      <c r="D74" s="614"/>
      <c r="E74" s="614"/>
      <c r="F74" s="692"/>
      <c r="G74" s="614"/>
      <c r="H74" s="614"/>
      <c r="I74" s="614"/>
      <c r="J74" s="614"/>
      <c r="K74" s="614"/>
      <c r="L74" s="614"/>
      <c r="M74" s="614"/>
      <c r="N74" s="614"/>
      <c r="O74" s="614"/>
      <c r="P74" s="281"/>
    </row>
    <row r="75" spans="1:16" s="73" customFormat="1" ht="13">
      <c r="A75" s="150"/>
      <c r="B75" s="306"/>
      <c r="C75" s="615"/>
      <c r="D75" s="615"/>
      <c r="E75" s="619"/>
      <c r="F75" s="697"/>
      <c r="G75" s="615"/>
      <c r="H75" s="615"/>
      <c r="I75" s="615"/>
      <c r="J75" s="615"/>
      <c r="K75" s="615"/>
      <c r="L75" s="615"/>
      <c r="M75" s="615"/>
      <c r="N75" s="615"/>
      <c r="O75" s="615">
        <f>+C75-(SUM(D75:N75))</f>
        <v>0</v>
      </c>
      <c r="P75" s="281"/>
    </row>
    <row r="76" spans="1:16" s="73" customFormat="1" ht="13">
      <c r="A76" s="150"/>
      <c r="B76" s="306"/>
      <c r="C76" s="615"/>
      <c r="D76" s="615"/>
      <c r="E76" s="619"/>
      <c r="F76" s="697"/>
      <c r="G76" s="615"/>
      <c r="H76" s="615"/>
      <c r="I76" s="615"/>
      <c r="J76" s="615"/>
      <c r="K76" s="615"/>
      <c r="L76" s="615"/>
      <c r="M76" s="615"/>
      <c r="N76" s="615"/>
      <c r="O76" s="615">
        <f>+C76-(SUM(D76:N76))</f>
        <v>0</v>
      </c>
      <c r="P76" s="281"/>
    </row>
    <row r="77" spans="1:16" s="73" customFormat="1" ht="13" hidden="1">
      <c r="A77" s="150"/>
      <c r="B77" s="289"/>
      <c r="C77" s="614"/>
      <c r="D77" s="614"/>
      <c r="E77" s="619"/>
      <c r="F77" s="697"/>
      <c r="G77" s="614"/>
      <c r="H77" s="614"/>
      <c r="I77" s="614"/>
      <c r="J77" s="614"/>
      <c r="K77" s="614"/>
      <c r="L77" s="615"/>
      <c r="M77" s="615"/>
      <c r="N77" s="615"/>
      <c r="O77" s="614"/>
      <c r="P77" s="281"/>
    </row>
    <row r="78" spans="1:16" s="73" customFormat="1">
      <c r="A78" s="149"/>
      <c r="B78" s="292" t="s">
        <v>175</v>
      </c>
      <c r="C78" s="616">
        <f t="shared" ref="C78:N78" si="14">SUM(C75:C76)</f>
        <v>0</v>
      </c>
      <c r="D78" s="616">
        <f t="shared" si="14"/>
        <v>0</v>
      </c>
      <c r="E78" s="616">
        <f t="shared" si="14"/>
        <v>0</v>
      </c>
      <c r="F78" s="694">
        <f t="shared" si="14"/>
        <v>0</v>
      </c>
      <c r="G78" s="616">
        <f t="shared" si="14"/>
        <v>0</v>
      </c>
      <c r="H78" s="616">
        <f t="shared" si="14"/>
        <v>0</v>
      </c>
      <c r="I78" s="616">
        <f t="shared" si="14"/>
        <v>0</v>
      </c>
      <c r="J78" s="616">
        <f t="shared" si="14"/>
        <v>0</v>
      </c>
      <c r="K78" s="616">
        <f t="shared" si="14"/>
        <v>0</v>
      </c>
      <c r="L78" s="616">
        <f t="shared" si="14"/>
        <v>0</v>
      </c>
      <c r="M78" s="616">
        <f t="shared" si="14"/>
        <v>0</v>
      </c>
      <c r="N78" s="616">
        <f t="shared" si="14"/>
        <v>0</v>
      </c>
      <c r="O78" s="616">
        <f>SUM(O75:O76)</f>
        <v>0</v>
      </c>
      <c r="P78" s="281"/>
    </row>
    <row r="79" spans="1:16" s="73" customFormat="1" ht="13">
      <c r="A79" s="150"/>
      <c r="B79" s="289" t="s">
        <v>129</v>
      </c>
      <c r="C79" s="614"/>
      <c r="D79" s="614"/>
      <c r="E79" s="614"/>
      <c r="F79" s="692"/>
      <c r="G79" s="614"/>
      <c r="H79" s="614"/>
      <c r="I79" s="614"/>
      <c r="J79" s="614"/>
      <c r="K79" s="614"/>
      <c r="L79" s="614"/>
      <c r="M79" s="614"/>
      <c r="N79" s="614"/>
      <c r="O79" s="614"/>
      <c r="P79" s="281"/>
    </row>
    <row r="80" spans="1:16" s="73" customFormat="1" ht="12.75" customHeight="1">
      <c r="A80" s="150"/>
      <c r="B80" s="309" t="s">
        <v>132</v>
      </c>
      <c r="C80" s="615"/>
      <c r="D80" s="615"/>
      <c r="E80" s="619"/>
      <c r="F80" s="697"/>
      <c r="G80" s="615"/>
      <c r="H80" s="615"/>
      <c r="I80" s="615"/>
      <c r="J80" s="615"/>
      <c r="K80" s="615"/>
      <c r="L80" s="615"/>
      <c r="M80" s="615"/>
      <c r="N80" s="615"/>
      <c r="O80" s="615">
        <f t="shared" ref="O80:O85" si="15">+C80-(SUM(D80:N80))</f>
        <v>0</v>
      </c>
      <c r="P80" s="281"/>
    </row>
    <row r="81" spans="1:16" s="73" customFormat="1" ht="15" customHeight="1">
      <c r="A81" s="150"/>
      <c r="B81" s="309" t="s">
        <v>130</v>
      </c>
      <c r="C81" s="615"/>
      <c r="D81" s="615"/>
      <c r="E81" s="619"/>
      <c r="F81" s="697"/>
      <c r="G81" s="615"/>
      <c r="H81" s="615"/>
      <c r="I81" s="615"/>
      <c r="J81" s="615"/>
      <c r="K81" s="615"/>
      <c r="L81" s="615"/>
      <c r="M81" s="615"/>
      <c r="N81" s="615"/>
      <c r="O81" s="615">
        <f t="shared" si="15"/>
        <v>0</v>
      </c>
      <c r="P81" s="281"/>
    </row>
    <row r="82" spans="1:16" s="73" customFormat="1" ht="15" customHeight="1">
      <c r="A82" s="150"/>
      <c r="B82" s="635" t="s">
        <v>328</v>
      </c>
      <c r="C82" s="615"/>
      <c r="D82" s="615"/>
      <c r="E82" s="619"/>
      <c r="F82" s="697"/>
      <c r="G82" s="615"/>
      <c r="H82" s="615"/>
      <c r="I82" s="615"/>
      <c r="J82" s="615"/>
      <c r="K82" s="615"/>
      <c r="L82" s="615"/>
      <c r="M82" s="615"/>
      <c r="N82" s="615"/>
      <c r="O82" s="615">
        <f t="shared" si="15"/>
        <v>0</v>
      </c>
      <c r="P82" s="281"/>
    </row>
    <row r="83" spans="1:16" s="73" customFormat="1" ht="15" customHeight="1">
      <c r="A83" s="150"/>
      <c r="B83" s="309" t="s">
        <v>131</v>
      </c>
      <c r="C83" s="615"/>
      <c r="D83" s="615"/>
      <c r="E83" s="619"/>
      <c r="F83" s="697"/>
      <c r="G83" s="615"/>
      <c r="H83" s="615"/>
      <c r="I83" s="615"/>
      <c r="J83" s="615"/>
      <c r="K83" s="615"/>
      <c r="L83" s="615"/>
      <c r="M83" s="615"/>
      <c r="N83" s="615"/>
      <c r="O83" s="615">
        <f t="shared" si="15"/>
        <v>0</v>
      </c>
      <c r="P83" s="281"/>
    </row>
    <row r="84" spans="1:16" s="73" customFormat="1" ht="15" customHeight="1">
      <c r="A84" s="150"/>
      <c r="B84" s="310"/>
      <c r="C84" s="615"/>
      <c r="D84" s="615"/>
      <c r="E84" s="619"/>
      <c r="F84" s="697"/>
      <c r="G84" s="615"/>
      <c r="H84" s="615"/>
      <c r="I84" s="615"/>
      <c r="J84" s="615"/>
      <c r="K84" s="615"/>
      <c r="L84" s="615"/>
      <c r="M84" s="615"/>
      <c r="N84" s="615"/>
      <c r="O84" s="615">
        <f t="shared" si="15"/>
        <v>0</v>
      </c>
      <c r="P84" s="281"/>
    </row>
    <row r="85" spans="1:16" s="73" customFormat="1" ht="15" customHeight="1">
      <c r="A85" s="150"/>
      <c r="B85" s="310"/>
      <c r="C85" s="615"/>
      <c r="D85" s="615"/>
      <c r="E85" s="619"/>
      <c r="F85" s="697"/>
      <c r="G85" s="615"/>
      <c r="H85" s="615"/>
      <c r="I85" s="615"/>
      <c r="J85" s="615"/>
      <c r="K85" s="615"/>
      <c r="L85" s="615"/>
      <c r="M85" s="615"/>
      <c r="N85" s="615"/>
      <c r="O85" s="615">
        <f t="shared" si="15"/>
        <v>0</v>
      </c>
      <c r="P85" s="281"/>
    </row>
    <row r="86" spans="1:16" s="73" customFormat="1" ht="13.5" hidden="1" customHeight="1">
      <c r="A86" s="150"/>
      <c r="B86" s="309"/>
      <c r="C86" s="614"/>
      <c r="D86" s="614"/>
      <c r="E86" s="619"/>
      <c r="F86" s="697"/>
      <c r="G86" s="614"/>
      <c r="H86" s="614"/>
      <c r="I86" s="614"/>
      <c r="J86" s="614"/>
      <c r="K86" s="614"/>
      <c r="L86" s="615"/>
      <c r="M86" s="615"/>
      <c r="N86" s="615"/>
      <c r="O86" s="614"/>
      <c r="P86" s="281"/>
    </row>
    <row r="87" spans="1:16" s="73" customFormat="1">
      <c r="A87" s="149"/>
      <c r="B87" s="292" t="s">
        <v>157</v>
      </c>
      <c r="C87" s="616">
        <f t="shared" ref="C87:N87" si="16">SUM(C80:C85)</f>
        <v>0</v>
      </c>
      <c r="D87" s="616">
        <f t="shared" si="16"/>
        <v>0</v>
      </c>
      <c r="E87" s="616">
        <f t="shared" si="16"/>
        <v>0</v>
      </c>
      <c r="F87" s="694">
        <f t="shared" si="16"/>
        <v>0</v>
      </c>
      <c r="G87" s="616">
        <f t="shared" si="16"/>
        <v>0</v>
      </c>
      <c r="H87" s="616">
        <f t="shared" si="16"/>
        <v>0</v>
      </c>
      <c r="I87" s="616">
        <f t="shared" si="16"/>
        <v>0</v>
      </c>
      <c r="J87" s="616">
        <f t="shared" si="16"/>
        <v>0</v>
      </c>
      <c r="K87" s="616">
        <f t="shared" si="16"/>
        <v>0</v>
      </c>
      <c r="L87" s="616">
        <f t="shared" si="16"/>
        <v>0</v>
      </c>
      <c r="M87" s="616">
        <f t="shared" si="16"/>
        <v>0</v>
      </c>
      <c r="N87" s="616">
        <f t="shared" si="16"/>
        <v>0</v>
      </c>
      <c r="O87" s="616">
        <f>SUM(O80:O85)</f>
        <v>0</v>
      </c>
      <c r="P87" s="281"/>
    </row>
    <row r="88" spans="1:16" s="73" customFormat="1" ht="12.75" customHeight="1">
      <c r="A88" s="150"/>
      <c r="B88" s="289" t="s">
        <v>154</v>
      </c>
      <c r="C88" s="614"/>
      <c r="D88" s="614"/>
      <c r="E88" s="614"/>
      <c r="F88" s="692"/>
      <c r="G88" s="614"/>
      <c r="H88" s="614"/>
      <c r="I88" s="614"/>
      <c r="J88" s="614"/>
      <c r="K88" s="614"/>
      <c r="L88" s="614"/>
      <c r="M88" s="614"/>
      <c r="N88" s="614"/>
      <c r="O88" s="614"/>
      <c r="P88" s="281"/>
    </row>
    <row r="89" spans="1:16" s="73" customFormat="1">
      <c r="A89" s="150"/>
      <c r="B89" s="311"/>
      <c r="C89" s="615"/>
      <c r="D89" s="615"/>
      <c r="E89" s="619"/>
      <c r="F89" s="697"/>
      <c r="G89" s="615"/>
      <c r="H89" s="615"/>
      <c r="I89" s="615"/>
      <c r="J89" s="615"/>
      <c r="K89" s="615"/>
      <c r="L89" s="615"/>
      <c r="M89" s="615"/>
      <c r="N89" s="615"/>
      <c r="O89" s="615">
        <f>+C89-(SUM(D89:N89))</f>
        <v>0</v>
      </c>
      <c r="P89" s="281"/>
    </row>
    <row r="90" spans="1:16" s="73" customFormat="1" ht="13.5" customHeight="1">
      <c r="A90" s="150"/>
      <c r="B90" s="311"/>
      <c r="C90" s="615"/>
      <c r="D90" s="615"/>
      <c r="E90" s="619"/>
      <c r="F90" s="697"/>
      <c r="G90" s="615"/>
      <c r="H90" s="615"/>
      <c r="I90" s="615"/>
      <c r="J90" s="615"/>
      <c r="K90" s="615"/>
      <c r="L90" s="615"/>
      <c r="M90" s="615"/>
      <c r="N90" s="615"/>
      <c r="O90" s="615">
        <f>+C90-(SUM(D90:N90))</f>
        <v>0</v>
      </c>
      <c r="P90" s="281"/>
    </row>
    <row r="91" spans="1:16" s="73" customFormat="1" ht="13.5" hidden="1" customHeight="1">
      <c r="A91" s="150"/>
      <c r="B91" s="309"/>
      <c r="C91" s="614"/>
      <c r="D91" s="614"/>
      <c r="E91" s="619"/>
      <c r="F91" s="697"/>
      <c r="G91" s="614"/>
      <c r="H91" s="614"/>
      <c r="I91" s="614"/>
      <c r="J91" s="614"/>
      <c r="K91" s="614"/>
      <c r="L91" s="615"/>
      <c r="M91" s="615"/>
      <c r="N91" s="615"/>
      <c r="O91" s="614"/>
      <c r="P91" s="281"/>
    </row>
    <row r="92" spans="1:16" s="73" customFormat="1">
      <c r="A92" s="149"/>
      <c r="B92" s="292" t="s">
        <v>158</v>
      </c>
      <c r="C92" s="616">
        <f t="shared" ref="C92:N92" si="17">SUM(C89:C90)</f>
        <v>0</v>
      </c>
      <c r="D92" s="616">
        <f t="shared" si="17"/>
        <v>0</v>
      </c>
      <c r="E92" s="616">
        <f t="shared" si="17"/>
        <v>0</v>
      </c>
      <c r="F92" s="694">
        <f t="shared" si="17"/>
        <v>0</v>
      </c>
      <c r="G92" s="616">
        <f t="shared" si="17"/>
        <v>0</v>
      </c>
      <c r="H92" s="616">
        <f t="shared" si="17"/>
        <v>0</v>
      </c>
      <c r="I92" s="616">
        <f t="shared" si="17"/>
        <v>0</v>
      </c>
      <c r="J92" s="616">
        <f t="shared" si="17"/>
        <v>0</v>
      </c>
      <c r="K92" s="616">
        <f t="shared" si="17"/>
        <v>0</v>
      </c>
      <c r="L92" s="616">
        <f t="shared" si="17"/>
        <v>0</v>
      </c>
      <c r="M92" s="616">
        <f t="shared" si="17"/>
        <v>0</v>
      </c>
      <c r="N92" s="616">
        <f t="shared" si="17"/>
        <v>0</v>
      </c>
      <c r="O92" s="616">
        <f>SUM(O89:O90)</f>
        <v>0</v>
      </c>
      <c r="P92" s="281"/>
    </row>
    <row r="93" spans="1:16" s="73" customFormat="1" ht="13">
      <c r="A93" s="150"/>
      <c r="B93" s="305" t="s">
        <v>156</v>
      </c>
      <c r="C93" s="617">
        <f>SUM(C61+C68+C73+C78+C87+C92)</f>
        <v>0</v>
      </c>
      <c r="D93" s="617">
        <f>SUM(D61+D68+D73+D78+D87+D92)</f>
        <v>0</v>
      </c>
      <c r="E93" s="617">
        <f t="shared" ref="E93:O93" si="18">SUM(E92,E87,E78,E73,E61,E68)</f>
        <v>0</v>
      </c>
      <c r="F93" s="695">
        <f t="shared" si="18"/>
        <v>0</v>
      </c>
      <c r="G93" s="617">
        <f t="shared" si="18"/>
        <v>0</v>
      </c>
      <c r="H93" s="617">
        <f t="shared" si="18"/>
        <v>0</v>
      </c>
      <c r="I93" s="617">
        <f>SUM(I92,I87,I78,I73,I61,I68)</f>
        <v>0</v>
      </c>
      <c r="J93" s="617">
        <f t="shared" si="18"/>
        <v>0</v>
      </c>
      <c r="K93" s="617">
        <f t="shared" si="18"/>
        <v>0</v>
      </c>
      <c r="L93" s="617">
        <f>SUM(L92,L87,L78,L73,L61,L68)</f>
        <v>0</v>
      </c>
      <c r="M93" s="617">
        <f t="shared" ref="M93" si="19">SUM(M92,M87,M78,M73,M61,M68)</f>
        <v>0</v>
      </c>
      <c r="N93" s="617">
        <f t="shared" si="18"/>
        <v>0</v>
      </c>
      <c r="O93" s="617">
        <f t="shared" si="18"/>
        <v>0</v>
      </c>
      <c r="P93" s="281"/>
    </row>
    <row r="94" spans="1:16" s="73" customFormat="1" ht="13">
      <c r="A94" s="151"/>
      <c r="B94" s="724" t="s">
        <v>233</v>
      </c>
      <c r="C94" s="725"/>
      <c r="D94" s="725"/>
      <c r="E94" s="725"/>
      <c r="F94" s="725"/>
      <c r="G94" s="725"/>
      <c r="H94" s="725"/>
      <c r="I94" s="725"/>
      <c r="J94" s="725"/>
      <c r="K94" s="261"/>
      <c r="L94" s="261"/>
      <c r="M94" s="261"/>
      <c r="N94" s="261"/>
      <c r="O94" s="262"/>
      <c r="P94" s="281"/>
    </row>
    <row r="95" spans="1:16" s="73" customFormat="1" ht="13">
      <c r="A95" s="149"/>
      <c r="B95" s="289" t="s">
        <v>133</v>
      </c>
      <c r="C95" s="614"/>
      <c r="D95" s="614"/>
      <c r="E95" s="614"/>
      <c r="F95" s="692"/>
      <c r="G95" s="614"/>
      <c r="H95" s="614"/>
      <c r="I95" s="614"/>
      <c r="J95" s="614"/>
      <c r="K95" s="614"/>
      <c r="L95" s="614"/>
      <c r="M95" s="614"/>
      <c r="N95" s="614"/>
      <c r="O95" s="614"/>
      <c r="P95" s="281"/>
    </row>
    <row r="96" spans="1:16" s="73" customFormat="1">
      <c r="A96" s="149"/>
      <c r="B96" s="296"/>
      <c r="C96" s="615"/>
      <c r="D96" s="615"/>
      <c r="E96" s="619"/>
      <c r="F96" s="697"/>
      <c r="G96" s="615"/>
      <c r="H96" s="615"/>
      <c r="I96" s="615"/>
      <c r="J96" s="615"/>
      <c r="K96" s="615"/>
      <c r="L96" s="615"/>
      <c r="M96" s="615"/>
      <c r="N96" s="615"/>
      <c r="O96" s="615">
        <f>+C96-(SUM(D96:N96))</f>
        <v>0</v>
      </c>
      <c r="P96" s="281"/>
    </row>
    <row r="97" spans="1:16" s="73" customFormat="1">
      <c r="A97" s="149"/>
      <c r="B97" s="296"/>
      <c r="C97" s="615"/>
      <c r="D97" s="615"/>
      <c r="E97" s="619"/>
      <c r="F97" s="697"/>
      <c r="G97" s="615"/>
      <c r="H97" s="615"/>
      <c r="I97" s="615"/>
      <c r="J97" s="615"/>
      <c r="K97" s="615"/>
      <c r="L97" s="615"/>
      <c r="M97" s="615"/>
      <c r="N97" s="615"/>
      <c r="O97" s="615">
        <f>+C97-(SUM(D97:N97))</f>
        <v>0</v>
      </c>
      <c r="P97" s="281"/>
    </row>
    <row r="98" spans="1:16" s="73" customFormat="1" hidden="1">
      <c r="A98" s="149"/>
      <c r="B98" s="312"/>
      <c r="C98" s="614"/>
      <c r="D98" s="614"/>
      <c r="E98" s="619"/>
      <c r="F98" s="697"/>
      <c r="G98" s="614"/>
      <c r="H98" s="614"/>
      <c r="I98" s="614"/>
      <c r="J98" s="614"/>
      <c r="K98" s="614"/>
      <c r="L98" s="615"/>
      <c r="M98" s="615"/>
      <c r="N98" s="615"/>
      <c r="O98" s="614"/>
      <c r="P98" s="281"/>
    </row>
    <row r="99" spans="1:16" s="73" customFormat="1">
      <c r="A99" s="149"/>
      <c r="B99" s="292" t="s">
        <v>159</v>
      </c>
      <c r="C99" s="616">
        <f t="shared" ref="C99:N99" si="20">SUM(C96:C97)</f>
        <v>0</v>
      </c>
      <c r="D99" s="616">
        <f t="shared" si="20"/>
        <v>0</v>
      </c>
      <c r="E99" s="616">
        <f t="shared" si="20"/>
        <v>0</v>
      </c>
      <c r="F99" s="694">
        <f t="shared" si="20"/>
        <v>0</v>
      </c>
      <c r="G99" s="616">
        <f t="shared" si="20"/>
        <v>0</v>
      </c>
      <c r="H99" s="616">
        <f t="shared" si="20"/>
        <v>0</v>
      </c>
      <c r="I99" s="616">
        <f t="shared" si="20"/>
        <v>0</v>
      </c>
      <c r="J99" s="616">
        <f t="shared" si="20"/>
        <v>0</v>
      </c>
      <c r="K99" s="616">
        <f t="shared" si="20"/>
        <v>0</v>
      </c>
      <c r="L99" s="616">
        <f t="shared" si="20"/>
        <v>0</v>
      </c>
      <c r="M99" s="616">
        <f t="shared" si="20"/>
        <v>0</v>
      </c>
      <c r="N99" s="616">
        <f t="shared" si="20"/>
        <v>0</v>
      </c>
      <c r="O99" s="616">
        <f>SUM(O96:O97)</f>
        <v>0</v>
      </c>
      <c r="P99" s="281"/>
    </row>
    <row r="100" spans="1:16" s="73" customFormat="1" ht="13">
      <c r="A100" s="150"/>
      <c r="B100" s="289" t="s">
        <v>134</v>
      </c>
      <c r="C100" s="614"/>
      <c r="D100" s="614"/>
      <c r="E100" s="614"/>
      <c r="F100" s="692"/>
      <c r="G100" s="614"/>
      <c r="H100" s="614"/>
      <c r="I100" s="614"/>
      <c r="J100" s="614"/>
      <c r="K100" s="614"/>
      <c r="L100" s="614"/>
      <c r="M100" s="614"/>
      <c r="N100" s="614"/>
      <c r="O100" s="614"/>
      <c r="P100" s="281"/>
    </row>
    <row r="101" spans="1:16" s="73" customFormat="1">
      <c r="A101" s="150"/>
      <c r="B101" s="310"/>
      <c r="C101" s="615"/>
      <c r="D101" s="615"/>
      <c r="E101" s="619"/>
      <c r="F101" s="697"/>
      <c r="G101" s="615"/>
      <c r="H101" s="615"/>
      <c r="I101" s="615"/>
      <c r="J101" s="615"/>
      <c r="K101" s="615"/>
      <c r="L101" s="615"/>
      <c r="M101" s="615"/>
      <c r="N101" s="615"/>
      <c r="O101" s="615">
        <f>+C101-(SUM(D101:N101))</f>
        <v>0</v>
      </c>
      <c r="P101" s="281"/>
    </row>
    <row r="102" spans="1:16" s="73" customFormat="1">
      <c r="A102" s="150"/>
      <c r="B102" s="310"/>
      <c r="C102" s="615"/>
      <c r="D102" s="615"/>
      <c r="E102" s="619"/>
      <c r="F102" s="697"/>
      <c r="G102" s="615"/>
      <c r="H102" s="615"/>
      <c r="I102" s="615"/>
      <c r="J102" s="615"/>
      <c r="K102" s="615"/>
      <c r="L102" s="615"/>
      <c r="M102" s="615"/>
      <c r="N102" s="615"/>
      <c r="O102" s="615">
        <f>+C102-(SUM(D102:N102))</f>
        <v>0</v>
      </c>
      <c r="P102" s="281"/>
    </row>
    <row r="103" spans="1:16" s="73" customFormat="1" hidden="1">
      <c r="A103" s="150"/>
      <c r="B103" s="313"/>
      <c r="C103" s="614"/>
      <c r="D103" s="614"/>
      <c r="E103" s="619"/>
      <c r="F103" s="697"/>
      <c r="G103" s="614"/>
      <c r="H103" s="614"/>
      <c r="I103" s="614"/>
      <c r="J103" s="614"/>
      <c r="K103" s="614"/>
      <c r="L103" s="615"/>
      <c r="M103" s="615"/>
      <c r="N103" s="615"/>
      <c r="O103" s="614"/>
      <c r="P103" s="281"/>
    </row>
    <row r="104" spans="1:16" s="73" customFormat="1">
      <c r="A104" s="149"/>
      <c r="B104" s="292" t="s">
        <v>160</v>
      </c>
      <c r="C104" s="616">
        <f>SUM(C100:C102)</f>
        <v>0</v>
      </c>
      <c r="D104" s="616">
        <f t="shared" ref="D104:N104" si="21">SUM(D100:D102)</f>
        <v>0</v>
      </c>
      <c r="E104" s="616">
        <f t="shared" si="21"/>
        <v>0</v>
      </c>
      <c r="F104" s="694">
        <f t="shared" si="21"/>
        <v>0</v>
      </c>
      <c r="G104" s="616">
        <f t="shared" si="21"/>
        <v>0</v>
      </c>
      <c r="H104" s="616">
        <f t="shared" si="21"/>
        <v>0</v>
      </c>
      <c r="I104" s="616">
        <f t="shared" si="21"/>
        <v>0</v>
      </c>
      <c r="J104" s="616">
        <f t="shared" si="21"/>
        <v>0</v>
      </c>
      <c r="K104" s="616">
        <f t="shared" si="21"/>
        <v>0</v>
      </c>
      <c r="L104" s="616">
        <f t="shared" si="21"/>
        <v>0</v>
      </c>
      <c r="M104" s="616">
        <f t="shared" si="21"/>
        <v>0</v>
      </c>
      <c r="N104" s="616">
        <f t="shared" si="21"/>
        <v>0</v>
      </c>
      <c r="O104" s="616">
        <f>SUM(O101:O102)</f>
        <v>0</v>
      </c>
      <c r="P104" s="281"/>
    </row>
    <row r="105" spans="1:16" s="73" customFormat="1" ht="13">
      <c r="A105" s="150"/>
      <c r="B105" s="289" t="s">
        <v>135</v>
      </c>
      <c r="C105" s="614"/>
      <c r="D105" s="614"/>
      <c r="E105" s="614"/>
      <c r="F105" s="692"/>
      <c r="G105" s="614"/>
      <c r="H105" s="614"/>
      <c r="I105" s="614"/>
      <c r="J105" s="614"/>
      <c r="K105" s="614"/>
      <c r="L105" s="614"/>
      <c r="M105" s="614"/>
      <c r="N105" s="614"/>
      <c r="O105" s="614"/>
      <c r="P105" s="281"/>
    </row>
    <row r="106" spans="1:16" s="73" customFormat="1">
      <c r="A106" s="150"/>
      <c r="B106" s="310"/>
      <c r="C106" s="615"/>
      <c r="D106" s="615"/>
      <c r="E106" s="619"/>
      <c r="F106" s="697"/>
      <c r="G106" s="615"/>
      <c r="H106" s="615"/>
      <c r="I106" s="615"/>
      <c r="J106" s="615"/>
      <c r="K106" s="615"/>
      <c r="L106" s="615"/>
      <c r="M106" s="615"/>
      <c r="N106" s="615"/>
      <c r="O106" s="615">
        <f>+C106-(SUM(D106:N106))</f>
        <v>0</v>
      </c>
      <c r="P106" s="281"/>
    </row>
    <row r="107" spans="1:16" s="73" customFormat="1">
      <c r="A107" s="150"/>
      <c r="B107" s="310"/>
      <c r="C107" s="615"/>
      <c r="D107" s="615"/>
      <c r="E107" s="619"/>
      <c r="F107" s="697"/>
      <c r="G107" s="615"/>
      <c r="H107" s="615"/>
      <c r="I107" s="615"/>
      <c r="J107" s="615"/>
      <c r="K107" s="615"/>
      <c r="L107" s="615"/>
      <c r="M107" s="615"/>
      <c r="N107" s="615"/>
      <c r="O107" s="615">
        <f>+C107-(SUM(D107:N107))</f>
        <v>0</v>
      </c>
      <c r="P107" s="281"/>
    </row>
    <row r="108" spans="1:16" s="73" customFormat="1" hidden="1">
      <c r="A108" s="150"/>
      <c r="B108" s="313"/>
      <c r="C108" s="614"/>
      <c r="D108" s="614"/>
      <c r="E108" s="619"/>
      <c r="F108" s="697"/>
      <c r="G108" s="614"/>
      <c r="H108" s="614"/>
      <c r="I108" s="614"/>
      <c r="J108" s="614"/>
      <c r="K108" s="614"/>
      <c r="L108" s="615"/>
      <c r="M108" s="615"/>
      <c r="N108" s="615"/>
      <c r="O108" s="614"/>
      <c r="P108" s="281"/>
    </row>
    <row r="109" spans="1:16" s="73" customFormat="1">
      <c r="A109" s="149"/>
      <c r="B109" s="292" t="s">
        <v>161</v>
      </c>
      <c r="C109" s="616">
        <f>SUM(C105:C107)</f>
        <v>0</v>
      </c>
      <c r="D109" s="616">
        <f t="shared" ref="D109:N109" si="22">SUM(D105:D107)</f>
        <v>0</v>
      </c>
      <c r="E109" s="616">
        <f t="shared" si="22"/>
        <v>0</v>
      </c>
      <c r="F109" s="694">
        <f t="shared" si="22"/>
        <v>0</v>
      </c>
      <c r="G109" s="616">
        <f t="shared" si="22"/>
        <v>0</v>
      </c>
      <c r="H109" s="616">
        <f t="shared" si="22"/>
        <v>0</v>
      </c>
      <c r="I109" s="616">
        <f t="shared" si="22"/>
        <v>0</v>
      </c>
      <c r="J109" s="616">
        <f t="shared" si="22"/>
        <v>0</v>
      </c>
      <c r="K109" s="616">
        <f t="shared" si="22"/>
        <v>0</v>
      </c>
      <c r="L109" s="616">
        <f t="shared" si="22"/>
        <v>0</v>
      </c>
      <c r="M109" s="616">
        <f t="shared" si="22"/>
        <v>0</v>
      </c>
      <c r="N109" s="616">
        <f t="shared" si="22"/>
        <v>0</v>
      </c>
      <c r="O109" s="616">
        <f>SUM(O106:O107)</f>
        <v>0</v>
      </c>
      <c r="P109" s="281"/>
    </row>
    <row r="110" spans="1:16" s="73" customFormat="1" ht="13">
      <c r="A110" s="150"/>
      <c r="B110" s="289" t="s">
        <v>139</v>
      </c>
      <c r="C110" s="614"/>
      <c r="D110" s="614"/>
      <c r="E110" s="614"/>
      <c r="F110" s="692"/>
      <c r="G110" s="614"/>
      <c r="H110" s="614"/>
      <c r="I110" s="614"/>
      <c r="J110" s="614"/>
      <c r="K110" s="614"/>
      <c r="L110" s="614"/>
      <c r="M110" s="614"/>
      <c r="N110" s="614"/>
      <c r="O110" s="614"/>
      <c r="P110" s="281"/>
    </row>
    <row r="111" spans="1:16" s="73" customFormat="1">
      <c r="A111" s="150"/>
      <c r="B111" s="310"/>
      <c r="C111" s="615"/>
      <c r="D111" s="615"/>
      <c r="E111" s="619"/>
      <c r="F111" s="697"/>
      <c r="G111" s="615"/>
      <c r="H111" s="615"/>
      <c r="I111" s="615"/>
      <c r="J111" s="615"/>
      <c r="K111" s="615"/>
      <c r="L111" s="615"/>
      <c r="M111" s="615"/>
      <c r="N111" s="615"/>
      <c r="O111" s="615">
        <f>+C111-(SUM(D111:N111))</f>
        <v>0</v>
      </c>
      <c r="P111" s="281"/>
    </row>
    <row r="112" spans="1:16" s="73" customFormat="1">
      <c r="A112" s="150"/>
      <c r="B112" s="310"/>
      <c r="C112" s="615"/>
      <c r="D112" s="615"/>
      <c r="E112" s="619"/>
      <c r="F112" s="697"/>
      <c r="G112" s="615"/>
      <c r="H112" s="615"/>
      <c r="I112" s="615"/>
      <c r="J112" s="615"/>
      <c r="K112" s="615"/>
      <c r="L112" s="615"/>
      <c r="M112" s="615"/>
      <c r="N112" s="615"/>
      <c r="O112" s="615">
        <f>+C112-(SUM(D112:N112))</f>
        <v>0</v>
      </c>
      <c r="P112" s="281"/>
    </row>
    <row r="113" spans="1:16" s="73" customFormat="1" hidden="1">
      <c r="A113" s="150"/>
      <c r="B113" s="313"/>
      <c r="C113" s="614"/>
      <c r="D113" s="614"/>
      <c r="E113" s="619"/>
      <c r="F113" s="697"/>
      <c r="G113" s="614"/>
      <c r="H113" s="614"/>
      <c r="I113" s="614"/>
      <c r="J113" s="614"/>
      <c r="K113" s="614"/>
      <c r="L113" s="615"/>
      <c r="M113" s="615"/>
      <c r="N113" s="615"/>
      <c r="O113" s="614"/>
      <c r="P113" s="281"/>
    </row>
    <row r="114" spans="1:16" s="73" customFormat="1">
      <c r="A114" s="149"/>
      <c r="B114" s="292" t="s">
        <v>162</v>
      </c>
      <c r="C114" s="616">
        <f t="shared" ref="C114:N114" si="23">SUM(C111:C112)</f>
        <v>0</v>
      </c>
      <c r="D114" s="616">
        <f t="shared" si="23"/>
        <v>0</v>
      </c>
      <c r="E114" s="616">
        <f t="shared" si="23"/>
        <v>0</v>
      </c>
      <c r="F114" s="694">
        <f t="shared" si="23"/>
        <v>0</v>
      </c>
      <c r="G114" s="616">
        <f t="shared" si="23"/>
        <v>0</v>
      </c>
      <c r="H114" s="616">
        <f t="shared" si="23"/>
        <v>0</v>
      </c>
      <c r="I114" s="616">
        <f t="shared" si="23"/>
        <v>0</v>
      </c>
      <c r="J114" s="616">
        <f t="shared" si="23"/>
        <v>0</v>
      </c>
      <c r="K114" s="616">
        <f t="shared" si="23"/>
        <v>0</v>
      </c>
      <c r="L114" s="616">
        <f t="shared" si="23"/>
        <v>0</v>
      </c>
      <c r="M114" s="616">
        <f t="shared" si="23"/>
        <v>0</v>
      </c>
      <c r="N114" s="616">
        <f t="shared" si="23"/>
        <v>0</v>
      </c>
      <c r="O114" s="616">
        <f>SUM(O111:O112)</f>
        <v>0</v>
      </c>
      <c r="P114" s="281"/>
    </row>
    <row r="115" spans="1:16" s="73" customFormat="1" ht="13">
      <c r="A115" s="150"/>
      <c r="B115" s="305" t="s">
        <v>163</v>
      </c>
      <c r="C115" s="617">
        <f t="shared" ref="C115:J115" si="24">SUM(C114,C109,C104,C99)</f>
        <v>0</v>
      </c>
      <c r="D115" s="617">
        <f t="shared" si="24"/>
        <v>0</v>
      </c>
      <c r="E115" s="617">
        <f t="shared" si="24"/>
        <v>0</v>
      </c>
      <c r="F115" s="695">
        <f t="shared" si="24"/>
        <v>0</v>
      </c>
      <c r="G115" s="617">
        <f t="shared" si="24"/>
        <v>0</v>
      </c>
      <c r="H115" s="617">
        <f>SUM(H114,H109,H104,H99)</f>
        <v>0</v>
      </c>
      <c r="I115" s="617">
        <f>SUM(I114,I109,I104,I99)</f>
        <v>0</v>
      </c>
      <c r="J115" s="617">
        <f t="shared" si="24"/>
        <v>0</v>
      </c>
      <c r="K115" s="617">
        <f>SUM(K114,K109,K104,K99)</f>
        <v>0</v>
      </c>
      <c r="L115" s="617">
        <f>SUM(L114,L109,L104,L99)</f>
        <v>0</v>
      </c>
      <c r="M115" s="617">
        <f>SUM(M114,M109,M104,M99)</f>
        <v>0</v>
      </c>
      <c r="N115" s="617">
        <f>SUM(N114,N109,N104,N99)</f>
        <v>0</v>
      </c>
      <c r="O115" s="617">
        <f>SUM(O114,O109,O104,O99)</f>
        <v>0</v>
      </c>
      <c r="P115" s="281"/>
    </row>
    <row r="116" spans="1:16" s="73" customFormat="1" ht="13">
      <c r="A116" s="151"/>
      <c r="B116" s="724" t="s">
        <v>234</v>
      </c>
      <c r="C116" s="725"/>
      <c r="D116" s="725"/>
      <c r="E116" s="725"/>
      <c r="F116" s="725"/>
      <c r="G116" s="725"/>
      <c r="H116" s="725"/>
      <c r="I116" s="725"/>
      <c r="J116" s="725"/>
      <c r="K116" s="261"/>
      <c r="L116" s="261"/>
      <c r="M116" s="261"/>
      <c r="N116" s="261"/>
      <c r="O116" s="262"/>
      <c r="P116" s="281"/>
    </row>
    <row r="117" spans="1:16" s="73" customFormat="1" ht="13">
      <c r="A117" s="149"/>
      <c r="B117" s="289" t="s">
        <v>6</v>
      </c>
      <c r="C117" s="614"/>
      <c r="D117" s="614"/>
      <c r="E117" s="614"/>
      <c r="F117" s="692"/>
      <c r="G117" s="614"/>
      <c r="H117" s="614"/>
      <c r="I117" s="614"/>
      <c r="J117" s="614"/>
      <c r="K117" s="614"/>
      <c r="L117" s="614"/>
      <c r="M117" s="614"/>
      <c r="N117" s="614"/>
      <c r="O117" s="614"/>
      <c r="P117" s="281"/>
    </row>
    <row r="118" spans="1:16" s="73" customFormat="1" ht="13">
      <c r="A118" s="149"/>
      <c r="B118" s="306"/>
      <c r="C118" s="615"/>
      <c r="D118" s="615"/>
      <c r="E118" s="619"/>
      <c r="F118" s="697"/>
      <c r="G118" s="615"/>
      <c r="H118" s="615"/>
      <c r="I118" s="615"/>
      <c r="J118" s="615"/>
      <c r="K118" s="615"/>
      <c r="L118" s="615"/>
      <c r="M118" s="615"/>
      <c r="N118" s="615"/>
      <c r="O118" s="615">
        <f>+C118-(SUM(D118:N118))</f>
        <v>0</v>
      </c>
      <c r="P118" s="281"/>
    </row>
    <row r="119" spans="1:16" s="73" customFormat="1" ht="13">
      <c r="A119" s="149"/>
      <c r="B119" s="306"/>
      <c r="C119" s="615"/>
      <c r="D119" s="615"/>
      <c r="E119" s="619"/>
      <c r="F119" s="697"/>
      <c r="G119" s="615"/>
      <c r="H119" s="615"/>
      <c r="I119" s="615"/>
      <c r="J119" s="615"/>
      <c r="K119" s="615"/>
      <c r="L119" s="615"/>
      <c r="M119" s="615"/>
      <c r="N119" s="615"/>
      <c r="O119" s="615">
        <f>+C119-(SUM(D119:N119))</f>
        <v>0</v>
      </c>
      <c r="P119" s="281"/>
    </row>
    <row r="120" spans="1:16" s="73" customFormat="1" ht="13" hidden="1">
      <c r="A120" s="149"/>
      <c r="B120" s="289"/>
      <c r="C120" s="614"/>
      <c r="D120" s="614"/>
      <c r="E120" s="619"/>
      <c r="F120" s="697"/>
      <c r="G120" s="614"/>
      <c r="H120" s="614"/>
      <c r="I120" s="614"/>
      <c r="J120" s="614"/>
      <c r="K120" s="614"/>
      <c r="L120" s="615"/>
      <c r="M120" s="615"/>
      <c r="N120" s="615"/>
      <c r="O120" s="614"/>
      <c r="P120" s="281"/>
    </row>
    <row r="121" spans="1:16" s="73" customFormat="1">
      <c r="A121" s="149"/>
      <c r="B121" s="292" t="s">
        <v>176</v>
      </c>
      <c r="C121" s="616">
        <f t="shared" ref="C121:N121" si="25">SUM(C118:C119)</f>
        <v>0</v>
      </c>
      <c r="D121" s="616">
        <f t="shared" si="25"/>
        <v>0</v>
      </c>
      <c r="E121" s="616">
        <f t="shared" si="25"/>
        <v>0</v>
      </c>
      <c r="F121" s="694">
        <f t="shared" si="25"/>
        <v>0</v>
      </c>
      <c r="G121" s="616">
        <f t="shared" si="25"/>
        <v>0</v>
      </c>
      <c r="H121" s="616">
        <f t="shared" si="25"/>
        <v>0</v>
      </c>
      <c r="I121" s="616">
        <f t="shared" si="25"/>
        <v>0</v>
      </c>
      <c r="J121" s="616">
        <f t="shared" si="25"/>
        <v>0</v>
      </c>
      <c r="K121" s="616">
        <f t="shared" si="25"/>
        <v>0</v>
      </c>
      <c r="L121" s="616">
        <f t="shared" si="25"/>
        <v>0</v>
      </c>
      <c r="M121" s="616">
        <f t="shared" si="25"/>
        <v>0</v>
      </c>
      <c r="N121" s="616">
        <f t="shared" si="25"/>
        <v>0</v>
      </c>
      <c r="O121" s="616">
        <f>SUM(O118:O119)</f>
        <v>0</v>
      </c>
      <c r="P121" s="281"/>
    </row>
    <row r="122" spans="1:16" s="73" customFormat="1" ht="13">
      <c r="A122" s="150"/>
      <c r="B122" s="289" t="s">
        <v>7</v>
      </c>
      <c r="C122" s="614"/>
      <c r="D122" s="614"/>
      <c r="E122" s="614"/>
      <c r="F122" s="692"/>
      <c r="G122" s="614"/>
      <c r="H122" s="614"/>
      <c r="I122" s="614"/>
      <c r="J122" s="614"/>
      <c r="K122" s="614"/>
      <c r="L122" s="614"/>
      <c r="M122" s="614"/>
      <c r="N122" s="614"/>
      <c r="O122" s="614"/>
      <c r="P122" s="281"/>
    </row>
    <row r="123" spans="1:16" s="73" customFormat="1" ht="13">
      <c r="A123" s="150"/>
      <c r="B123" s="306"/>
      <c r="C123" s="615"/>
      <c r="D123" s="615"/>
      <c r="E123" s="619"/>
      <c r="F123" s="697"/>
      <c r="G123" s="615"/>
      <c r="H123" s="615"/>
      <c r="I123" s="615"/>
      <c r="J123" s="615"/>
      <c r="K123" s="615"/>
      <c r="L123" s="615"/>
      <c r="M123" s="615"/>
      <c r="N123" s="615"/>
      <c r="O123" s="615">
        <f>+C123-(SUM(D123:N123))</f>
        <v>0</v>
      </c>
      <c r="P123" s="281"/>
    </row>
    <row r="124" spans="1:16" s="73" customFormat="1" ht="13">
      <c r="A124" s="150"/>
      <c r="B124" s="306"/>
      <c r="C124" s="615"/>
      <c r="D124" s="615"/>
      <c r="E124" s="619"/>
      <c r="F124" s="697"/>
      <c r="G124" s="615"/>
      <c r="H124" s="615"/>
      <c r="I124" s="615"/>
      <c r="J124" s="615"/>
      <c r="K124" s="615"/>
      <c r="L124" s="615"/>
      <c r="M124" s="615"/>
      <c r="N124" s="615"/>
      <c r="O124" s="615">
        <f>+C124-(SUM(D124:N124))</f>
        <v>0</v>
      </c>
      <c r="P124" s="281"/>
    </row>
    <row r="125" spans="1:16" s="73" customFormat="1" ht="13" hidden="1">
      <c r="A125" s="150"/>
      <c r="B125" s="289"/>
      <c r="C125" s="614"/>
      <c r="D125" s="614"/>
      <c r="E125" s="619"/>
      <c r="F125" s="697"/>
      <c r="G125" s="614"/>
      <c r="H125" s="614"/>
      <c r="I125" s="614"/>
      <c r="J125" s="614"/>
      <c r="K125" s="614"/>
      <c r="L125" s="615"/>
      <c r="M125" s="615"/>
      <c r="N125" s="615"/>
      <c r="O125" s="614"/>
      <c r="P125" s="281"/>
    </row>
    <row r="126" spans="1:16" s="73" customFormat="1">
      <c r="A126" s="149"/>
      <c r="B126" s="292" t="s">
        <v>177</v>
      </c>
      <c r="C126" s="616">
        <f t="shared" ref="C126:N126" si="26">SUM(C123:C124)</f>
        <v>0</v>
      </c>
      <c r="D126" s="616">
        <f t="shared" si="26"/>
        <v>0</v>
      </c>
      <c r="E126" s="616">
        <f t="shared" si="26"/>
        <v>0</v>
      </c>
      <c r="F126" s="694">
        <f t="shared" si="26"/>
        <v>0</v>
      </c>
      <c r="G126" s="616">
        <f t="shared" si="26"/>
        <v>0</v>
      </c>
      <c r="H126" s="616">
        <f t="shared" si="26"/>
        <v>0</v>
      </c>
      <c r="I126" s="616">
        <f t="shared" si="26"/>
        <v>0</v>
      </c>
      <c r="J126" s="616">
        <f t="shared" si="26"/>
        <v>0</v>
      </c>
      <c r="K126" s="616">
        <f t="shared" si="26"/>
        <v>0</v>
      </c>
      <c r="L126" s="616">
        <f t="shared" si="26"/>
        <v>0</v>
      </c>
      <c r="M126" s="616">
        <f t="shared" si="26"/>
        <v>0</v>
      </c>
      <c r="N126" s="616">
        <f t="shared" si="26"/>
        <v>0</v>
      </c>
      <c r="O126" s="616">
        <f>SUM(O123:O124)</f>
        <v>0</v>
      </c>
      <c r="P126" s="281"/>
    </row>
    <row r="127" spans="1:16" s="73" customFormat="1" ht="13">
      <c r="A127" s="150"/>
      <c r="B127" s="289" t="s">
        <v>133</v>
      </c>
      <c r="C127" s="614"/>
      <c r="D127" s="614"/>
      <c r="E127" s="614"/>
      <c r="F127" s="692"/>
      <c r="G127" s="614"/>
      <c r="H127" s="614"/>
      <c r="I127" s="614"/>
      <c r="J127" s="614"/>
      <c r="K127" s="614"/>
      <c r="L127" s="614"/>
      <c r="M127" s="614"/>
      <c r="N127" s="614"/>
      <c r="O127" s="614"/>
      <c r="P127" s="281"/>
    </row>
    <row r="128" spans="1:16" s="73" customFormat="1">
      <c r="A128" s="150"/>
      <c r="B128" s="310"/>
      <c r="C128" s="615"/>
      <c r="D128" s="615"/>
      <c r="E128" s="619"/>
      <c r="F128" s="697"/>
      <c r="G128" s="615"/>
      <c r="H128" s="615"/>
      <c r="I128" s="615"/>
      <c r="J128" s="615"/>
      <c r="K128" s="615"/>
      <c r="L128" s="615"/>
      <c r="M128" s="615"/>
      <c r="N128" s="615"/>
      <c r="O128" s="615">
        <f>+C128-(SUM(D128:N128))</f>
        <v>0</v>
      </c>
      <c r="P128" s="281"/>
    </row>
    <row r="129" spans="1:16" s="73" customFormat="1">
      <c r="A129" s="150"/>
      <c r="B129" s="310"/>
      <c r="C129" s="615"/>
      <c r="D129" s="615"/>
      <c r="E129" s="619"/>
      <c r="F129" s="697"/>
      <c r="G129" s="615"/>
      <c r="H129" s="615"/>
      <c r="I129" s="615"/>
      <c r="J129" s="615"/>
      <c r="K129" s="615"/>
      <c r="L129" s="615"/>
      <c r="M129" s="615"/>
      <c r="N129" s="615"/>
      <c r="O129" s="615">
        <f>+C129-(SUM(D129:N129))</f>
        <v>0</v>
      </c>
      <c r="P129" s="281"/>
    </row>
    <row r="130" spans="1:16" s="73" customFormat="1" hidden="1">
      <c r="A130" s="150"/>
      <c r="B130" s="313"/>
      <c r="C130" s="614"/>
      <c r="D130" s="614"/>
      <c r="E130" s="619"/>
      <c r="F130" s="697"/>
      <c r="G130" s="614"/>
      <c r="H130" s="614"/>
      <c r="I130" s="614"/>
      <c r="J130" s="614"/>
      <c r="K130" s="614"/>
      <c r="L130" s="615"/>
      <c r="M130" s="615"/>
      <c r="N130" s="615"/>
      <c r="O130" s="614"/>
      <c r="P130" s="281"/>
    </row>
    <row r="131" spans="1:16" s="73" customFormat="1">
      <c r="A131" s="149"/>
      <c r="B131" s="292" t="s">
        <v>159</v>
      </c>
      <c r="C131" s="616">
        <f t="shared" ref="C131:N131" si="27">SUM(C128:C129)</f>
        <v>0</v>
      </c>
      <c r="D131" s="616">
        <f t="shared" si="27"/>
        <v>0</v>
      </c>
      <c r="E131" s="616">
        <f t="shared" si="27"/>
        <v>0</v>
      </c>
      <c r="F131" s="694">
        <f t="shared" si="27"/>
        <v>0</v>
      </c>
      <c r="G131" s="616">
        <f t="shared" si="27"/>
        <v>0</v>
      </c>
      <c r="H131" s="616">
        <f t="shared" si="27"/>
        <v>0</v>
      </c>
      <c r="I131" s="616">
        <f t="shared" si="27"/>
        <v>0</v>
      </c>
      <c r="J131" s="616">
        <f t="shared" si="27"/>
        <v>0</v>
      </c>
      <c r="K131" s="616">
        <f t="shared" si="27"/>
        <v>0</v>
      </c>
      <c r="L131" s="616">
        <f t="shared" si="27"/>
        <v>0</v>
      </c>
      <c r="M131" s="616">
        <f t="shared" si="27"/>
        <v>0</v>
      </c>
      <c r="N131" s="616">
        <f t="shared" si="27"/>
        <v>0</v>
      </c>
      <c r="O131" s="616">
        <f>SUM(O128:O129)</f>
        <v>0</v>
      </c>
      <c r="P131" s="281"/>
    </row>
    <row r="132" spans="1:16" s="73" customFormat="1" ht="13">
      <c r="A132" s="150"/>
      <c r="B132" s="289" t="s">
        <v>39</v>
      </c>
      <c r="C132" s="614"/>
      <c r="D132" s="614"/>
      <c r="E132" s="614"/>
      <c r="F132" s="692"/>
      <c r="G132" s="614"/>
      <c r="H132" s="614"/>
      <c r="I132" s="614"/>
      <c r="J132" s="614"/>
      <c r="K132" s="614"/>
      <c r="L132" s="614"/>
      <c r="M132" s="614"/>
      <c r="N132" s="614"/>
      <c r="O132" s="614"/>
      <c r="P132" s="281"/>
    </row>
    <row r="133" spans="1:16" s="73" customFormat="1" ht="13">
      <c r="A133" s="150"/>
      <c r="B133" s="306"/>
      <c r="C133" s="615"/>
      <c r="D133" s="615"/>
      <c r="E133" s="619"/>
      <c r="F133" s="697"/>
      <c r="G133" s="615"/>
      <c r="H133" s="615"/>
      <c r="I133" s="615"/>
      <c r="J133" s="615"/>
      <c r="K133" s="615"/>
      <c r="L133" s="615"/>
      <c r="M133" s="615"/>
      <c r="N133" s="615"/>
      <c r="O133" s="615">
        <f>+C133-(SUM(D133:N133))</f>
        <v>0</v>
      </c>
      <c r="P133" s="281"/>
    </row>
    <row r="134" spans="1:16" s="73" customFormat="1" ht="13">
      <c r="A134" s="150"/>
      <c r="B134" s="306"/>
      <c r="C134" s="615"/>
      <c r="D134" s="615"/>
      <c r="E134" s="619"/>
      <c r="F134" s="697"/>
      <c r="G134" s="615"/>
      <c r="H134" s="615"/>
      <c r="I134" s="615"/>
      <c r="J134" s="615"/>
      <c r="K134" s="615"/>
      <c r="L134" s="615"/>
      <c r="M134" s="615"/>
      <c r="N134" s="615"/>
      <c r="O134" s="615">
        <f>+C134-(SUM(D134:N134))</f>
        <v>0</v>
      </c>
      <c r="P134" s="281"/>
    </row>
    <row r="135" spans="1:16" s="73" customFormat="1" ht="13" hidden="1">
      <c r="A135" s="150"/>
      <c r="B135" s="289"/>
      <c r="C135" s="614"/>
      <c r="D135" s="614"/>
      <c r="E135" s="619"/>
      <c r="F135" s="697"/>
      <c r="G135" s="614"/>
      <c r="H135" s="614"/>
      <c r="I135" s="614"/>
      <c r="J135" s="614"/>
      <c r="K135" s="614"/>
      <c r="L135" s="615"/>
      <c r="M135" s="615"/>
      <c r="N135" s="615"/>
      <c r="O135" s="614"/>
      <c r="P135" s="281"/>
    </row>
    <row r="136" spans="1:16" s="73" customFormat="1">
      <c r="A136" s="149"/>
      <c r="B136" s="292" t="s">
        <v>227</v>
      </c>
      <c r="C136" s="616">
        <f t="shared" ref="C136:N136" si="28">SUM(C133:C134)</f>
        <v>0</v>
      </c>
      <c r="D136" s="616">
        <f t="shared" si="28"/>
        <v>0</v>
      </c>
      <c r="E136" s="616">
        <f t="shared" si="28"/>
        <v>0</v>
      </c>
      <c r="F136" s="694">
        <f t="shared" si="28"/>
        <v>0</v>
      </c>
      <c r="G136" s="616">
        <f t="shared" si="28"/>
        <v>0</v>
      </c>
      <c r="H136" s="616">
        <f t="shared" si="28"/>
        <v>0</v>
      </c>
      <c r="I136" s="616">
        <f t="shared" si="28"/>
        <v>0</v>
      </c>
      <c r="J136" s="616">
        <f t="shared" si="28"/>
        <v>0</v>
      </c>
      <c r="K136" s="616">
        <f t="shared" si="28"/>
        <v>0</v>
      </c>
      <c r="L136" s="616">
        <f t="shared" si="28"/>
        <v>0</v>
      </c>
      <c r="M136" s="616">
        <f t="shared" si="28"/>
        <v>0</v>
      </c>
      <c r="N136" s="616">
        <f t="shared" si="28"/>
        <v>0</v>
      </c>
      <c r="O136" s="616">
        <f>SUM(O133:O134)</f>
        <v>0</v>
      </c>
      <c r="P136" s="281"/>
    </row>
    <row r="137" spans="1:16" s="73" customFormat="1" ht="13">
      <c r="A137" s="150"/>
      <c r="B137" s="289" t="s">
        <v>137</v>
      </c>
      <c r="C137" s="614"/>
      <c r="D137" s="614"/>
      <c r="E137" s="614"/>
      <c r="F137" s="692"/>
      <c r="G137" s="614"/>
      <c r="H137" s="614"/>
      <c r="I137" s="614"/>
      <c r="J137" s="614"/>
      <c r="K137" s="614"/>
      <c r="L137" s="614"/>
      <c r="M137" s="614"/>
      <c r="N137" s="614"/>
      <c r="O137" s="614"/>
      <c r="P137" s="281"/>
    </row>
    <row r="138" spans="1:16" s="73" customFormat="1">
      <c r="A138" s="150"/>
      <c r="B138" s="290"/>
      <c r="C138" s="615"/>
      <c r="D138" s="615"/>
      <c r="E138" s="619"/>
      <c r="F138" s="697"/>
      <c r="G138" s="615"/>
      <c r="H138" s="615"/>
      <c r="I138" s="615"/>
      <c r="J138" s="615"/>
      <c r="K138" s="615"/>
      <c r="L138" s="615"/>
      <c r="M138" s="615"/>
      <c r="N138" s="615"/>
      <c r="O138" s="615">
        <f>+C138-(SUM(D138:N138))</f>
        <v>0</v>
      </c>
      <c r="P138" s="281"/>
    </row>
    <row r="139" spans="1:16" s="73" customFormat="1">
      <c r="A139" s="150"/>
      <c r="B139" s="310"/>
      <c r="C139" s="615"/>
      <c r="D139" s="615"/>
      <c r="E139" s="619"/>
      <c r="F139" s="697"/>
      <c r="G139" s="615"/>
      <c r="H139" s="615"/>
      <c r="I139" s="615"/>
      <c r="J139" s="615"/>
      <c r="K139" s="615"/>
      <c r="L139" s="615"/>
      <c r="M139" s="615"/>
      <c r="N139" s="615"/>
      <c r="O139" s="615">
        <f>+C139-(SUM(D139:N139))</f>
        <v>0</v>
      </c>
      <c r="P139" s="281"/>
    </row>
    <row r="140" spans="1:16" s="73" customFormat="1" hidden="1">
      <c r="A140" s="150"/>
      <c r="B140" s="313"/>
      <c r="C140" s="614"/>
      <c r="D140" s="614"/>
      <c r="E140" s="619"/>
      <c r="F140" s="697"/>
      <c r="G140" s="614"/>
      <c r="H140" s="614"/>
      <c r="I140" s="614"/>
      <c r="J140" s="614"/>
      <c r="K140" s="614"/>
      <c r="L140" s="615"/>
      <c r="M140" s="615"/>
      <c r="N140" s="615"/>
      <c r="O140" s="614"/>
      <c r="P140" s="281"/>
    </row>
    <row r="141" spans="1:16" s="73" customFormat="1">
      <c r="A141" s="149"/>
      <c r="B141" s="292" t="s">
        <v>164</v>
      </c>
      <c r="C141" s="616">
        <f t="shared" ref="C141:N141" si="29">SUM(C138:C139)</f>
        <v>0</v>
      </c>
      <c r="D141" s="616">
        <f t="shared" si="29"/>
        <v>0</v>
      </c>
      <c r="E141" s="616">
        <f t="shared" si="29"/>
        <v>0</v>
      </c>
      <c r="F141" s="694">
        <f t="shared" si="29"/>
        <v>0</v>
      </c>
      <c r="G141" s="616">
        <f t="shared" si="29"/>
        <v>0</v>
      </c>
      <c r="H141" s="616">
        <f t="shared" si="29"/>
        <v>0</v>
      </c>
      <c r="I141" s="616">
        <f t="shared" si="29"/>
        <v>0</v>
      </c>
      <c r="J141" s="616">
        <f t="shared" si="29"/>
        <v>0</v>
      </c>
      <c r="K141" s="616">
        <f t="shared" si="29"/>
        <v>0</v>
      </c>
      <c r="L141" s="616">
        <f t="shared" si="29"/>
        <v>0</v>
      </c>
      <c r="M141" s="616">
        <f t="shared" si="29"/>
        <v>0</v>
      </c>
      <c r="N141" s="616">
        <f t="shared" si="29"/>
        <v>0</v>
      </c>
      <c r="O141" s="616">
        <f>SUM(O138:O139)</f>
        <v>0</v>
      </c>
      <c r="P141" s="281"/>
    </row>
    <row r="142" spans="1:16" s="73" customFormat="1" ht="13">
      <c r="A142" s="150"/>
      <c r="B142" s="289" t="s">
        <v>8</v>
      </c>
      <c r="C142" s="614"/>
      <c r="D142" s="614"/>
      <c r="E142" s="614"/>
      <c r="F142" s="692"/>
      <c r="G142" s="614"/>
      <c r="H142" s="614"/>
      <c r="I142" s="614"/>
      <c r="J142" s="614"/>
      <c r="K142" s="614"/>
      <c r="L142" s="614"/>
      <c r="M142" s="614"/>
      <c r="N142" s="614"/>
      <c r="O142" s="614"/>
      <c r="P142" s="281"/>
    </row>
    <row r="143" spans="1:16" s="73" customFormat="1" ht="13">
      <c r="A143" s="150"/>
      <c r="B143" s="306"/>
      <c r="C143" s="615"/>
      <c r="D143" s="615"/>
      <c r="E143" s="619"/>
      <c r="F143" s="697"/>
      <c r="G143" s="615"/>
      <c r="H143" s="615"/>
      <c r="I143" s="615"/>
      <c r="J143" s="615"/>
      <c r="K143" s="615"/>
      <c r="L143" s="615"/>
      <c r="M143" s="615"/>
      <c r="N143" s="615"/>
      <c r="O143" s="615">
        <f>+C143-(SUM(D143:N143))</f>
        <v>0</v>
      </c>
      <c r="P143" s="281"/>
    </row>
    <row r="144" spans="1:16" s="73" customFormat="1" ht="13">
      <c r="A144" s="150"/>
      <c r="B144" s="306"/>
      <c r="C144" s="615"/>
      <c r="D144" s="615"/>
      <c r="E144" s="619"/>
      <c r="F144" s="697"/>
      <c r="G144" s="615"/>
      <c r="H144" s="615"/>
      <c r="I144" s="615"/>
      <c r="J144" s="615"/>
      <c r="K144" s="615"/>
      <c r="L144" s="615"/>
      <c r="M144" s="615"/>
      <c r="N144" s="615"/>
      <c r="O144" s="615">
        <f>+C144-(SUM(D144:N144))</f>
        <v>0</v>
      </c>
      <c r="P144" s="281"/>
    </row>
    <row r="145" spans="1:16" s="73" customFormat="1" ht="13" hidden="1">
      <c r="A145" s="150"/>
      <c r="B145" s="289"/>
      <c r="C145" s="614"/>
      <c r="D145" s="614"/>
      <c r="E145" s="619"/>
      <c r="F145" s="697"/>
      <c r="G145" s="614"/>
      <c r="H145" s="614"/>
      <c r="I145" s="614"/>
      <c r="J145" s="614"/>
      <c r="K145" s="614"/>
      <c r="L145" s="615"/>
      <c r="M145" s="615"/>
      <c r="N145" s="615"/>
      <c r="O145" s="614"/>
      <c r="P145" s="281"/>
    </row>
    <row r="146" spans="1:16" s="73" customFormat="1">
      <c r="A146" s="149"/>
      <c r="B146" s="292" t="s">
        <v>178</v>
      </c>
      <c r="C146" s="616">
        <f t="shared" ref="C146:N146" si="30">SUM(C143:C144)</f>
        <v>0</v>
      </c>
      <c r="D146" s="616">
        <f t="shared" si="30"/>
        <v>0</v>
      </c>
      <c r="E146" s="616">
        <f t="shared" si="30"/>
        <v>0</v>
      </c>
      <c r="F146" s="694">
        <f t="shared" si="30"/>
        <v>0</v>
      </c>
      <c r="G146" s="616">
        <f t="shared" si="30"/>
        <v>0</v>
      </c>
      <c r="H146" s="616">
        <f t="shared" si="30"/>
        <v>0</v>
      </c>
      <c r="I146" s="616">
        <f t="shared" si="30"/>
        <v>0</v>
      </c>
      <c r="J146" s="616">
        <f t="shared" si="30"/>
        <v>0</v>
      </c>
      <c r="K146" s="616">
        <f t="shared" si="30"/>
        <v>0</v>
      </c>
      <c r="L146" s="616">
        <f t="shared" si="30"/>
        <v>0</v>
      </c>
      <c r="M146" s="616">
        <f t="shared" si="30"/>
        <v>0</v>
      </c>
      <c r="N146" s="616">
        <f t="shared" si="30"/>
        <v>0</v>
      </c>
      <c r="O146" s="616">
        <f>SUM(O143:O144)</f>
        <v>0</v>
      </c>
      <c r="P146" s="281"/>
    </row>
    <row r="147" spans="1:16" s="73" customFormat="1" ht="13">
      <c r="A147" s="150"/>
      <c r="B147" s="289" t="s">
        <v>9</v>
      </c>
      <c r="C147" s="614"/>
      <c r="D147" s="614"/>
      <c r="E147" s="614"/>
      <c r="F147" s="692"/>
      <c r="G147" s="614"/>
      <c r="H147" s="614"/>
      <c r="I147" s="614"/>
      <c r="J147" s="614"/>
      <c r="K147" s="614"/>
      <c r="L147" s="614"/>
      <c r="M147" s="614"/>
      <c r="N147" s="614"/>
      <c r="O147" s="614"/>
      <c r="P147" s="281"/>
    </row>
    <row r="148" spans="1:16" s="73" customFormat="1" ht="13">
      <c r="A148" s="150"/>
      <c r="B148" s="306"/>
      <c r="C148" s="615"/>
      <c r="D148" s="615"/>
      <c r="E148" s="619"/>
      <c r="F148" s="697"/>
      <c r="G148" s="615"/>
      <c r="H148" s="615"/>
      <c r="I148" s="615"/>
      <c r="J148" s="615"/>
      <c r="K148" s="615"/>
      <c r="L148" s="615"/>
      <c r="M148" s="615"/>
      <c r="N148" s="615"/>
      <c r="O148" s="615">
        <f>+C148-(SUM(D148:N148))</f>
        <v>0</v>
      </c>
      <c r="P148" s="281"/>
    </row>
    <row r="149" spans="1:16" s="73" customFormat="1" ht="13">
      <c r="A149" s="150"/>
      <c r="B149" s="306"/>
      <c r="C149" s="615"/>
      <c r="D149" s="615"/>
      <c r="E149" s="619"/>
      <c r="F149" s="697"/>
      <c r="G149" s="615"/>
      <c r="H149" s="615"/>
      <c r="I149" s="615"/>
      <c r="J149" s="615"/>
      <c r="K149" s="615"/>
      <c r="L149" s="615"/>
      <c r="M149" s="615"/>
      <c r="N149" s="615"/>
      <c r="O149" s="615">
        <f>+C149-(SUM(D149:N149))</f>
        <v>0</v>
      </c>
      <c r="P149" s="281"/>
    </row>
    <row r="150" spans="1:16" s="73" customFormat="1" ht="13" hidden="1">
      <c r="A150" s="150"/>
      <c r="B150" s="289"/>
      <c r="C150" s="614"/>
      <c r="D150" s="614"/>
      <c r="E150" s="619"/>
      <c r="F150" s="697"/>
      <c r="G150" s="614"/>
      <c r="H150" s="614"/>
      <c r="I150" s="614"/>
      <c r="J150" s="614"/>
      <c r="K150" s="614"/>
      <c r="L150" s="615"/>
      <c r="M150" s="615"/>
      <c r="N150" s="615"/>
      <c r="O150" s="614"/>
      <c r="P150" s="281"/>
    </row>
    <row r="151" spans="1:16" s="73" customFormat="1">
      <c r="A151" s="149"/>
      <c r="B151" s="292" t="s">
        <v>178</v>
      </c>
      <c r="C151" s="616">
        <f t="shared" ref="C151:N151" si="31">SUM(C148:C149)</f>
        <v>0</v>
      </c>
      <c r="D151" s="616">
        <f t="shared" si="31"/>
        <v>0</v>
      </c>
      <c r="E151" s="616">
        <f t="shared" si="31"/>
        <v>0</v>
      </c>
      <c r="F151" s="694">
        <f t="shared" si="31"/>
        <v>0</v>
      </c>
      <c r="G151" s="616">
        <f t="shared" si="31"/>
        <v>0</v>
      </c>
      <c r="H151" s="616">
        <f t="shared" si="31"/>
        <v>0</v>
      </c>
      <c r="I151" s="616">
        <f t="shared" si="31"/>
        <v>0</v>
      </c>
      <c r="J151" s="616">
        <f t="shared" si="31"/>
        <v>0</v>
      </c>
      <c r="K151" s="616">
        <f t="shared" si="31"/>
        <v>0</v>
      </c>
      <c r="L151" s="616">
        <f t="shared" si="31"/>
        <v>0</v>
      </c>
      <c r="M151" s="616">
        <f t="shared" si="31"/>
        <v>0</v>
      </c>
      <c r="N151" s="616">
        <f t="shared" si="31"/>
        <v>0</v>
      </c>
      <c r="O151" s="616">
        <f>SUM(O148:O149)</f>
        <v>0</v>
      </c>
      <c r="P151" s="281"/>
    </row>
    <row r="152" spans="1:16" s="73" customFormat="1" ht="13">
      <c r="A152" s="150"/>
      <c r="B152" s="289" t="s">
        <v>138</v>
      </c>
      <c r="C152" s="614"/>
      <c r="D152" s="614"/>
      <c r="E152" s="614"/>
      <c r="F152" s="692"/>
      <c r="G152" s="614"/>
      <c r="H152" s="614"/>
      <c r="I152" s="614"/>
      <c r="J152" s="614"/>
      <c r="K152" s="614"/>
      <c r="L152" s="614"/>
      <c r="M152" s="614"/>
      <c r="N152" s="614"/>
      <c r="O152" s="614"/>
      <c r="P152" s="281"/>
    </row>
    <row r="153" spans="1:16" s="73" customFormat="1" ht="13">
      <c r="A153" s="150"/>
      <c r="B153" s="306"/>
      <c r="C153" s="615"/>
      <c r="D153" s="615"/>
      <c r="E153" s="619"/>
      <c r="F153" s="697"/>
      <c r="G153" s="615"/>
      <c r="H153" s="615"/>
      <c r="I153" s="615"/>
      <c r="J153" s="615"/>
      <c r="K153" s="615"/>
      <c r="L153" s="615"/>
      <c r="M153" s="615"/>
      <c r="N153" s="615"/>
      <c r="O153" s="615">
        <f>+C153-(SUM(D153:N153))</f>
        <v>0</v>
      </c>
      <c r="P153" s="281"/>
    </row>
    <row r="154" spans="1:16" s="73" customFormat="1">
      <c r="A154" s="150"/>
      <c r="B154" s="310"/>
      <c r="C154" s="615"/>
      <c r="D154" s="615"/>
      <c r="E154" s="619"/>
      <c r="F154" s="697"/>
      <c r="G154" s="615"/>
      <c r="H154" s="615"/>
      <c r="I154" s="615"/>
      <c r="J154" s="615"/>
      <c r="K154" s="615"/>
      <c r="L154" s="615"/>
      <c r="M154" s="615"/>
      <c r="N154" s="615"/>
      <c r="O154" s="615">
        <f>+C154-(SUM(D154:N154))</f>
        <v>0</v>
      </c>
      <c r="P154" s="281"/>
    </row>
    <row r="155" spans="1:16" s="73" customFormat="1" hidden="1">
      <c r="A155" s="150"/>
      <c r="B155" s="313"/>
      <c r="C155" s="614"/>
      <c r="D155" s="614"/>
      <c r="E155" s="619"/>
      <c r="F155" s="619"/>
      <c r="G155" s="614"/>
      <c r="H155" s="614"/>
      <c r="I155" s="614"/>
      <c r="J155" s="614"/>
      <c r="K155" s="614"/>
      <c r="L155" s="615"/>
      <c r="M155" s="615"/>
      <c r="N155" s="615"/>
      <c r="O155" s="614"/>
      <c r="P155" s="281"/>
    </row>
    <row r="156" spans="1:16" s="73" customFormat="1">
      <c r="A156" s="149"/>
      <c r="B156" s="292" t="s">
        <v>165</v>
      </c>
      <c r="C156" s="616">
        <f t="shared" ref="C156:N156" si="32">SUM(C153:C154)</f>
        <v>0</v>
      </c>
      <c r="D156" s="616">
        <f t="shared" si="32"/>
        <v>0</v>
      </c>
      <c r="E156" s="616">
        <f t="shared" si="32"/>
        <v>0</v>
      </c>
      <c r="F156" s="694">
        <f t="shared" si="32"/>
        <v>0</v>
      </c>
      <c r="G156" s="616">
        <f t="shared" si="32"/>
        <v>0</v>
      </c>
      <c r="H156" s="616">
        <f t="shared" si="32"/>
        <v>0</v>
      </c>
      <c r="I156" s="616">
        <f t="shared" si="32"/>
        <v>0</v>
      </c>
      <c r="J156" s="616">
        <f t="shared" si="32"/>
        <v>0</v>
      </c>
      <c r="K156" s="616">
        <f t="shared" si="32"/>
        <v>0</v>
      </c>
      <c r="L156" s="616">
        <f t="shared" si="32"/>
        <v>0</v>
      </c>
      <c r="M156" s="616">
        <f t="shared" si="32"/>
        <v>0</v>
      </c>
      <c r="N156" s="616">
        <f t="shared" si="32"/>
        <v>0</v>
      </c>
      <c r="O156" s="616">
        <f>SUM(O153:O154)</f>
        <v>0</v>
      </c>
      <c r="P156" s="281"/>
    </row>
    <row r="157" spans="1:16" s="73" customFormat="1" ht="13">
      <c r="A157" s="149"/>
      <c r="B157" s="314" t="s">
        <v>167</v>
      </c>
      <c r="C157" s="614"/>
      <c r="D157" s="614"/>
      <c r="E157" s="614"/>
      <c r="F157" s="692"/>
      <c r="G157" s="614"/>
      <c r="H157" s="614"/>
      <c r="I157" s="614"/>
      <c r="J157" s="614"/>
      <c r="K157" s="614"/>
      <c r="L157" s="614"/>
      <c r="M157" s="614"/>
      <c r="N157" s="614"/>
      <c r="O157" s="614"/>
      <c r="P157" s="281"/>
    </row>
    <row r="158" spans="1:16" s="73" customFormat="1" ht="13">
      <c r="A158" s="149"/>
      <c r="B158" s="306"/>
      <c r="C158" s="615"/>
      <c r="D158" s="615"/>
      <c r="E158" s="619"/>
      <c r="F158" s="697"/>
      <c r="G158" s="615"/>
      <c r="H158" s="615"/>
      <c r="I158" s="615"/>
      <c r="J158" s="615"/>
      <c r="K158" s="615"/>
      <c r="L158" s="615"/>
      <c r="M158" s="615"/>
      <c r="N158" s="615"/>
      <c r="O158" s="615">
        <f>+C158-(SUM(D158:N158))</f>
        <v>0</v>
      </c>
      <c r="P158" s="281"/>
    </row>
    <row r="159" spans="1:16" s="73" customFormat="1">
      <c r="A159" s="149"/>
      <c r="B159" s="296"/>
      <c r="C159" s="615"/>
      <c r="D159" s="615"/>
      <c r="E159" s="619"/>
      <c r="F159" s="697"/>
      <c r="G159" s="615"/>
      <c r="H159" s="615"/>
      <c r="I159" s="615"/>
      <c r="J159" s="615"/>
      <c r="K159" s="615"/>
      <c r="L159" s="615"/>
      <c r="M159" s="615"/>
      <c r="N159" s="615"/>
      <c r="O159" s="615">
        <f>+C159-(SUM(D159:N159))</f>
        <v>0</v>
      </c>
      <c r="P159" s="281"/>
    </row>
    <row r="160" spans="1:16" s="73" customFormat="1" hidden="1">
      <c r="A160" s="150"/>
      <c r="B160" s="313"/>
      <c r="C160" s="614"/>
      <c r="D160" s="614"/>
      <c r="E160" s="619"/>
      <c r="F160" s="697"/>
      <c r="G160" s="614"/>
      <c r="H160" s="614"/>
      <c r="I160" s="614"/>
      <c r="J160" s="614"/>
      <c r="K160" s="614"/>
      <c r="L160" s="615"/>
      <c r="M160" s="615"/>
      <c r="N160" s="615"/>
      <c r="O160" s="614"/>
      <c r="P160" s="281"/>
    </row>
    <row r="161" spans="1:16" s="73" customFormat="1">
      <c r="A161" s="149"/>
      <c r="B161" s="292" t="s">
        <v>166</v>
      </c>
      <c r="C161" s="616">
        <f t="shared" ref="C161:N161" si="33">SUM(C158:C159)</f>
        <v>0</v>
      </c>
      <c r="D161" s="616">
        <f t="shared" si="33"/>
        <v>0</v>
      </c>
      <c r="E161" s="616">
        <f t="shared" si="33"/>
        <v>0</v>
      </c>
      <c r="F161" s="694">
        <f t="shared" si="33"/>
        <v>0</v>
      </c>
      <c r="G161" s="616">
        <f t="shared" si="33"/>
        <v>0</v>
      </c>
      <c r="H161" s="616">
        <f t="shared" si="33"/>
        <v>0</v>
      </c>
      <c r="I161" s="616">
        <f t="shared" si="33"/>
        <v>0</v>
      </c>
      <c r="J161" s="616">
        <f t="shared" si="33"/>
        <v>0</v>
      </c>
      <c r="K161" s="616">
        <f t="shared" si="33"/>
        <v>0</v>
      </c>
      <c r="L161" s="616">
        <f t="shared" si="33"/>
        <v>0</v>
      </c>
      <c r="M161" s="616">
        <f t="shared" si="33"/>
        <v>0</v>
      </c>
      <c r="N161" s="616">
        <f t="shared" si="33"/>
        <v>0</v>
      </c>
      <c r="O161" s="616">
        <f>SUM(O158:O159)</f>
        <v>0</v>
      </c>
      <c r="P161" s="281"/>
    </row>
    <row r="162" spans="1:16" s="73" customFormat="1" ht="13">
      <c r="A162" s="150"/>
      <c r="B162" s="305" t="s">
        <v>168</v>
      </c>
      <c r="C162" s="617">
        <f t="shared" ref="C162:J162" si="34">SUM(C161,C156,C151,C146,C141,C136,C131,C126,C121)</f>
        <v>0</v>
      </c>
      <c r="D162" s="617">
        <f>SUM(D161,D156,D151,D146,D141,D136,D131,D126,D121)</f>
        <v>0</v>
      </c>
      <c r="E162" s="617">
        <f t="shared" si="34"/>
        <v>0</v>
      </c>
      <c r="F162" s="695">
        <f t="shared" si="34"/>
        <v>0</v>
      </c>
      <c r="G162" s="617">
        <f t="shared" si="34"/>
        <v>0</v>
      </c>
      <c r="H162" s="617">
        <f>SUM(H161,H156,H151,H146,H141,H136,H131,H126,H121)</f>
        <v>0</v>
      </c>
      <c r="I162" s="617">
        <f>SUM(I161,I156,I151,I146,I141,I136,I131,I126,I121)</f>
        <v>0</v>
      </c>
      <c r="J162" s="617">
        <f t="shared" si="34"/>
        <v>0</v>
      </c>
      <c r="K162" s="617">
        <f>SUM(K161,K156,K151,K146,K141,K136,K131,K126,K121)</f>
        <v>0</v>
      </c>
      <c r="L162" s="617">
        <f>SUM(L161,L156,L151,L146,L141,L136,L131,L126,L121)</f>
        <v>0</v>
      </c>
      <c r="M162" s="617">
        <f>SUM(M161,M156,M151,M146,M141,M136,M131,M126,M121)</f>
        <v>0</v>
      </c>
      <c r="N162" s="617">
        <f>SUM(N161,N156,N151,N146,N141,N136,N131,N126,N121)</f>
        <v>0</v>
      </c>
      <c r="O162" s="617">
        <f>SUM(O161,O156,O151,O146,O141,O136,O131,O126,O121)</f>
        <v>0</v>
      </c>
      <c r="P162" s="281"/>
    </row>
    <row r="163" spans="1:16" s="73" customFormat="1" ht="13">
      <c r="A163" s="151"/>
      <c r="B163" s="724" t="s">
        <v>235</v>
      </c>
      <c r="C163" s="725"/>
      <c r="D163" s="725"/>
      <c r="E163" s="725"/>
      <c r="F163" s="725"/>
      <c r="G163" s="725"/>
      <c r="H163" s="725"/>
      <c r="I163" s="725"/>
      <c r="J163" s="725"/>
      <c r="K163" s="261"/>
      <c r="L163" s="261"/>
      <c r="M163" s="261"/>
      <c r="N163" s="261"/>
      <c r="O163" s="262"/>
      <c r="P163" s="281"/>
    </row>
    <row r="164" spans="1:16" s="73" customFormat="1" ht="13">
      <c r="A164" s="149"/>
      <c r="B164" s="289" t="s">
        <v>27</v>
      </c>
      <c r="C164" s="614"/>
      <c r="D164" s="614"/>
      <c r="E164" s="614"/>
      <c r="F164" s="692"/>
      <c r="G164" s="614"/>
      <c r="H164" s="614"/>
      <c r="I164" s="614"/>
      <c r="J164" s="614"/>
      <c r="K164" s="614"/>
      <c r="L164" s="614"/>
      <c r="M164" s="614"/>
      <c r="N164" s="614"/>
      <c r="O164" s="614"/>
      <c r="P164" s="281"/>
    </row>
    <row r="165" spans="1:16" s="73" customFormat="1" ht="13">
      <c r="A165" s="149"/>
      <c r="B165" s="306"/>
      <c r="C165" s="615"/>
      <c r="D165" s="615"/>
      <c r="E165" s="619"/>
      <c r="F165" s="697"/>
      <c r="G165" s="615"/>
      <c r="H165" s="615"/>
      <c r="I165" s="615"/>
      <c r="J165" s="615"/>
      <c r="K165" s="615"/>
      <c r="L165" s="615"/>
      <c r="M165" s="615"/>
      <c r="N165" s="615"/>
      <c r="O165" s="615">
        <f>+C165-(SUM(D165:N165))</f>
        <v>0</v>
      </c>
      <c r="P165" s="281"/>
    </row>
    <row r="166" spans="1:16" s="73" customFormat="1" ht="13">
      <c r="A166" s="149"/>
      <c r="B166" s="306"/>
      <c r="C166" s="615"/>
      <c r="D166" s="615"/>
      <c r="E166" s="619"/>
      <c r="F166" s="697"/>
      <c r="G166" s="615"/>
      <c r="H166" s="615"/>
      <c r="I166" s="615"/>
      <c r="J166" s="615"/>
      <c r="K166" s="615"/>
      <c r="L166" s="615"/>
      <c r="M166" s="615"/>
      <c r="N166" s="615"/>
      <c r="O166" s="615">
        <f>+C166-(SUM(D166:N166))</f>
        <v>0</v>
      </c>
      <c r="P166" s="281"/>
    </row>
    <row r="167" spans="1:16" s="73" customFormat="1" ht="13" hidden="1">
      <c r="A167" s="149"/>
      <c r="B167" s="289"/>
      <c r="C167" s="614"/>
      <c r="D167" s="614"/>
      <c r="E167" s="619"/>
      <c r="F167" s="697"/>
      <c r="G167" s="614"/>
      <c r="H167" s="614"/>
      <c r="I167" s="614"/>
      <c r="J167" s="614"/>
      <c r="K167" s="614"/>
      <c r="L167" s="615"/>
      <c r="M167" s="615"/>
      <c r="N167" s="615"/>
      <c r="O167" s="614"/>
      <c r="P167" s="281"/>
    </row>
    <row r="168" spans="1:16" s="73" customFormat="1">
      <c r="A168" s="149"/>
      <c r="B168" s="292" t="s">
        <v>179</v>
      </c>
      <c r="C168" s="616">
        <f t="shared" ref="C168:N168" si="35">SUM(C165:C166)</f>
        <v>0</v>
      </c>
      <c r="D168" s="616">
        <f t="shared" si="35"/>
        <v>0</v>
      </c>
      <c r="E168" s="616">
        <f t="shared" si="35"/>
        <v>0</v>
      </c>
      <c r="F168" s="694">
        <f t="shared" si="35"/>
        <v>0</v>
      </c>
      <c r="G168" s="616">
        <f t="shared" si="35"/>
        <v>0</v>
      </c>
      <c r="H168" s="616">
        <f t="shared" si="35"/>
        <v>0</v>
      </c>
      <c r="I168" s="616">
        <f t="shared" si="35"/>
        <v>0</v>
      </c>
      <c r="J168" s="616">
        <f t="shared" si="35"/>
        <v>0</v>
      </c>
      <c r="K168" s="616">
        <f t="shared" si="35"/>
        <v>0</v>
      </c>
      <c r="L168" s="616">
        <f t="shared" si="35"/>
        <v>0</v>
      </c>
      <c r="M168" s="616">
        <f t="shared" si="35"/>
        <v>0</v>
      </c>
      <c r="N168" s="616">
        <f t="shared" si="35"/>
        <v>0</v>
      </c>
      <c r="O168" s="616">
        <f>SUM(O165:O166)</f>
        <v>0</v>
      </c>
      <c r="P168" s="281"/>
    </row>
    <row r="169" spans="1:16" s="73" customFormat="1" ht="13">
      <c r="A169" s="150"/>
      <c r="B169" s="289" t="s">
        <v>22</v>
      </c>
      <c r="C169" s="614"/>
      <c r="D169" s="614"/>
      <c r="E169" s="614"/>
      <c r="F169" s="692"/>
      <c r="G169" s="614"/>
      <c r="H169" s="614"/>
      <c r="I169" s="614"/>
      <c r="J169" s="614"/>
      <c r="K169" s="614"/>
      <c r="L169" s="614"/>
      <c r="M169" s="614"/>
      <c r="N169" s="614"/>
      <c r="O169" s="614"/>
      <c r="P169" s="281"/>
    </row>
    <row r="170" spans="1:16" s="73" customFormat="1" ht="13">
      <c r="A170" s="150"/>
      <c r="B170" s="306"/>
      <c r="C170" s="615"/>
      <c r="D170" s="615"/>
      <c r="E170" s="619"/>
      <c r="F170" s="697"/>
      <c r="G170" s="615"/>
      <c r="H170" s="615"/>
      <c r="I170" s="615"/>
      <c r="J170" s="615"/>
      <c r="K170" s="615"/>
      <c r="L170" s="615"/>
      <c r="M170" s="615"/>
      <c r="N170" s="615"/>
      <c r="O170" s="615">
        <f>+C170-(SUM(D170:N170))</f>
        <v>0</v>
      </c>
      <c r="P170" s="281"/>
    </row>
    <row r="171" spans="1:16" s="73" customFormat="1" ht="13">
      <c r="A171" s="150"/>
      <c r="B171" s="306"/>
      <c r="C171" s="615"/>
      <c r="D171" s="615"/>
      <c r="E171" s="619"/>
      <c r="F171" s="697"/>
      <c r="G171" s="615"/>
      <c r="H171" s="615"/>
      <c r="I171" s="615"/>
      <c r="J171" s="615"/>
      <c r="K171" s="615"/>
      <c r="L171" s="615"/>
      <c r="M171" s="615"/>
      <c r="N171" s="615"/>
      <c r="O171" s="615">
        <f>+C171-(SUM(D171:N171))</f>
        <v>0</v>
      </c>
      <c r="P171" s="281"/>
    </row>
    <row r="172" spans="1:16" s="73" customFormat="1" ht="13" hidden="1">
      <c r="A172" s="150"/>
      <c r="B172" s="289"/>
      <c r="C172" s="614"/>
      <c r="D172" s="614"/>
      <c r="E172" s="619"/>
      <c r="F172" s="697"/>
      <c r="G172" s="614"/>
      <c r="H172" s="614"/>
      <c r="I172" s="614"/>
      <c r="J172" s="614"/>
      <c r="K172" s="614"/>
      <c r="L172" s="615"/>
      <c r="M172" s="615"/>
      <c r="N172" s="615"/>
      <c r="O172" s="614"/>
      <c r="P172" s="281"/>
    </row>
    <row r="173" spans="1:16" s="73" customFormat="1">
      <c r="A173" s="149"/>
      <c r="B173" s="292" t="s">
        <v>180</v>
      </c>
      <c r="C173" s="616">
        <f t="shared" ref="C173:N173" si="36">SUM(C170:C171)</f>
        <v>0</v>
      </c>
      <c r="D173" s="616">
        <f t="shared" si="36"/>
        <v>0</v>
      </c>
      <c r="E173" s="616">
        <f t="shared" si="36"/>
        <v>0</v>
      </c>
      <c r="F173" s="694">
        <f t="shared" si="36"/>
        <v>0</v>
      </c>
      <c r="G173" s="616">
        <f t="shared" si="36"/>
        <v>0</v>
      </c>
      <c r="H173" s="616">
        <f t="shared" si="36"/>
        <v>0</v>
      </c>
      <c r="I173" s="616">
        <f t="shared" si="36"/>
        <v>0</v>
      </c>
      <c r="J173" s="616">
        <f t="shared" si="36"/>
        <v>0</v>
      </c>
      <c r="K173" s="616">
        <f t="shared" si="36"/>
        <v>0</v>
      </c>
      <c r="L173" s="616">
        <f t="shared" si="36"/>
        <v>0</v>
      </c>
      <c r="M173" s="616">
        <f t="shared" si="36"/>
        <v>0</v>
      </c>
      <c r="N173" s="616">
        <f t="shared" si="36"/>
        <v>0</v>
      </c>
      <c r="O173" s="616">
        <f>SUM(O170:O171)</f>
        <v>0</v>
      </c>
      <c r="P173" s="281"/>
    </row>
    <row r="174" spans="1:16" s="73" customFormat="1" ht="13">
      <c r="A174" s="150"/>
      <c r="B174" s="289" t="s">
        <v>23</v>
      </c>
      <c r="C174" s="614"/>
      <c r="D174" s="614"/>
      <c r="E174" s="614"/>
      <c r="F174" s="692"/>
      <c r="G174" s="614"/>
      <c r="H174" s="614"/>
      <c r="I174" s="614"/>
      <c r="J174" s="614"/>
      <c r="K174" s="614"/>
      <c r="L174" s="614"/>
      <c r="M174" s="614"/>
      <c r="N174" s="614"/>
      <c r="O174" s="614"/>
      <c r="P174" s="281"/>
    </row>
    <row r="175" spans="1:16" s="73" customFormat="1" ht="13">
      <c r="A175" s="150"/>
      <c r="B175" s="306"/>
      <c r="C175" s="615"/>
      <c r="D175" s="615"/>
      <c r="E175" s="619"/>
      <c r="F175" s="697"/>
      <c r="G175" s="615"/>
      <c r="H175" s="615"/>
      <c r="I175" s="615"/>
      <c r="J175" s="615"/>
      <c r="K175" s="615"/>
      <c r="L175" s="615"/>
      <c r="M175" s="615"/>
      <c r="N175" s="615"/>
      <c r="O175" s="615">
        <f>+C175-(SUM(D175:N175))</f>
        <v>0</v>
      </c>
      <c r="P175" s="281"/>
    </row>
    <row r="176" spans="1:16" s="73" customFormat="1" ht="13">
      <c r="A176" s="150"/>
      <c r="B176" s="306"/>
      <c r="C176" s="615"/>
      <c r="D176" s="615"/>
      <c r="E176" s="619"/>
      <c r="F176" s="697"/>
      <c r="G176" s="615"/>
      <c r="H176" s="615"/>
      <c r="I176" s="615"/>
      <c r="J176" s="615"/>
      <c r="K176" s="615"/>
      <c r="L176" s="615"/>
      <c r="M176" s="615"/>
      <c r="N176" s="615"/>
      <c r="O176" s="615">
        <f>+C176-(SUM(D176:N176))</f>
        <v>0</v>
      </c>
      <c r="P176" s="281"/>
    </row>
    <row r="177" spans="1:16" s="73" customFormat="1" ht="13" hidden="1">
      <c r="A177" s="150"/>
      <c r="B177" s="289"/>
      <c r="C177" s="614"/>
      <c r="D177" s="614"/>
      <c r="E177" s="619"/>
      <c r="F177" s="697"/>
      <c r="G177" s="614"/>
      <c r="H177" s="614"/>
      <c r="I177" s="614"/>
      <c r="J177" s="614"/>
      <c r="K177" s="614"/>
      <c r="L177" s="615"/>
      <c r="M177" s="615"/>
      <c r="N177" s="615"/>
      <c r="O177" s="614"/>
      <c r="P177" s="281"/>
    </row>
    <row r="178" spans="1:16" s="73" customFormat="1">
      <c r="A178" s="149"/>
      <c r="B178" s="292" t="s">
        <v>181</v>
      </c>
      <c r="C178" s="616">
        <f t="shared" ref="C178:N178" si="37">SUM(C175:C176)</f>
        <v>0</v>
      </c>
      <c r="D178" s="616">
        <f t="shared" si="37"/>
        <v>0</v>
      </c>
      <c r="E178" s="616">
        <f t="shared" si="37"/>
        <v>0</v>
      </c>
      <c r="F178" s="694">
        <f t="shared" si="37"/>
        <v>0</v>
      </c>
      <c r="G178" s="616">
        <f t="shared" si="37"/>
        <v>0</v>
      </c>
      <c r="H178" s="616">
        <f t="shared" si="37"/>
        <v>0</v>
      </c>
      <c r="I178" s="616">
        <f t="shared" si="37"/>
        <v>0</v>
      </c>
      <c r="J178" s="616">
        <f t="shared" si="37"/>
        <v>0</v>
      </c>
      <c r="K178" s="616">
        <f t="shared" si="37"/>
        <v>0</v>
      </c>
      <c r="L178" s="616">
        <f t="shared" si="37"/>
        <v>0</v>
      </c>
      <c r="M178" s="616">
        <f t="shared" si="37"/>
        <v>0</v>
      </c>
      <c r="N178" s="616">
        <f t="shared" si="37"/>
        <v>0</v>
      </c>
      <c r="O178" s="616">
        <f>SUM(O175:O176)</f>
        <v>0</v>
      </c>
      <c r="P178" s="281"/>
    </row>
    <row r="179" spans="1:16" s="73" customFormat="1" ht="13">
      <c r="A179" s="150"/>
      <c r="B179" s="289" t="s">
        <v>229</v>
      </c>
      <c r="C179" s="614"/>
      <c r="D179" s="614"/>
      <c r="E179" s="614"/>
      <c r="F179" s="692"/>
      <c r="G179" s="614"/>
      <c r="H179" s="614"/>
      <c r="I179" s="614"/>
      <c r="J179" s="614"/>
      <c r="K179" s="614"/>
      <c r="L179" s="614"/>
      <c r="M179" s="614"/>
      <c r="N179" s="614"/>
      <c r="O179" s="614"/>
      <c r="P179" s="281"/>
    </row>
    <row r="180" spans="1:16" s="73" customFormat="1" ht="13">
      <c r="A180" s="150"/>
      <c r="B180" s="306"/>
      <c r="C180" s="615"/>
      <c r="D180" s="615"/>
      <c r="E180" s="619"/>
      <c r="F180" s="697"/>
      <c r="G180" s="615"/>
      <c r="H180" s="615"/>
      <c r="I180" s="615"/>
      <c r="J180" s="615"/>
      <c r="K180" s="615"/>
      <c r="L180" s="615"/>
      <c r="M180" s="615"/>
      <c r="N180" s="615"/>
      <c r="O180" s="615">
        <f>+C180-(SUM(D180:N180))</f>
        <v>0</v>
      </c>
      <c r="P180" s="281"/>
    </row>
    <row r="181" spans="1:16" s="73" customFormat="1">
      <c r="A181" s="150"/>
      <c r="B181" s="310"/>
      <c r="C181" s="615"/>
      <c r="D181" s="615"/>
      <c r="E181" s="619"/>
      <c r="F181" s="697"/>
      <c r="G181" s="615"/>
      <c r="H181" s="615"/>
      <c r="I181" s="615"/>
      <c r="J181" s="615"/>
      <c r="K181" s="615"/>
      <c r="L181" s="615"/>
      <c r="M181" s="615"/>
      <c r="N181" s="615"/>
      <c r="O181" s="615">
        <f>+C181-(SUM(D181:N181))</f>
        <v>0</v>
      </c>
      <c r="P181" s="281"/>
    </row>
    <row r="182" spans="1:16" s="73" customFormat="1" hidden="1">
      <c r="A182" s="150"/>
      <c r="B182" s="313"/>
      <c r="C182" s="614"/>
      <c r="D182" s="614"/>
      <c r="E182" s="619"/>
      <c r="F182" s="697"/>
      <c r="G182" s="614"/>
      <c r="H182" s="614"/>
      <c r="I182" s="614"/>
      <c r="J182" s="614"/>
      <c r="K182" s="614"/>
      <c r="L182" s="615"/>
      <c r="M182" s="615"/>
      <c r="N182" s="615"/>
      <c r="O182" s="614"/>
      <c r="P182" s="281"/>
    </row>
    <row r="183" spans="1:16" s="73" customFormat="1">
      <c r="A183" s="149"/>
      <c r="B183" s="292" t="s">
        <v>165</v>
      </c>
      <c r="C183" s="616">
        <f t="shared" ref="C183:N183" si="38">SUM(C180:C181)</f>
        <v>0</v>
      </c>
      <c r="D183" s="616">
        <f t="shared" si="38"/>
        <v>0</v>
      </c>
      <c r="E183" s="616">
        <f t="shared" si="38"/>
        <v>0</v>
      </c>
      <c r="F183" s="694">
        <f t="shared" si="38"/>
        <v>0</v>
      </c>
      <c r="G183" s="616">
        <f t="shared" si="38"/>
        <v>0</v>
      </c>
      <c r="H183" s="616">
        <f t="shared" si="38"/>
        <v>0</v>
      </c>
      <c r="I183" s="616">
        <f t="shared" si="38"/>
        <v>0</v>
      </c>
      <c r="J183" s="616">
        <f t="shared" si="38"/>
        <v>0</v>
      </c>
      <c r="K183" s="616">
        <f t="shared" si="38"/>
        <v>0</v>
      </c>
      <c r="L183" s="616">
        <f t="shared" si="38"/>
        <v>0</v>
      </c>
      <c r="M183" s="616">
        <f t="shared" si="38"/>
        <v>0</v>
      </c>
      <c r="N183" s="616">
        <f t="shared" si="38"/>
        <v>0</v>
      </c>
      <c r="O183" s="616">
        <f>SUM(O180:O181)</f>
        <v>0</v>
      </c>
      <c r="P183" s="281"/>
    </row>
    <row r="184" spans="1:16" s="73" customFormat="1" ht="13">
      <c r="A184" s="150"/>
      <c r="B184" s="289" t="s">
        <v>137</v>
      </c>
      <c r="C184" s="614"/>
      <c r="D184" s="614"/>
      <c r="E184" s="614"/>
      <c r="F184" s="692"/>
      <c r="G184" s="614"/>
      <c r="H184" s="614"/>
      <c r="I184" s="614"/>
      <c r="J184" s="614"/>
      <c r="K184" s="614"/>
      <c r="L184" s="614"/>
      <c r="M184" s="614"/>
      <c r="N184" s="614"/>
      <c r="O184" s="614"/>
      <c r="P184" s="281"/>
    </row>
    <row r="185" spans="1:16" s="73" customFormat="1" ht="13">
      <c r="A185" s="150"/>
      <c r="B185" s="306"/>
      <c r="C185" s="615"/>
      <c r="D185" s="615"/>
      <c r="E185" s="619"/>
      <c r="F185" s="697"/>
      <c r="G185" s="615"/>
      <c r="H185" s="615"/>
      <c r="I185" s="615"/>
      <c r="J185" s="615"/>
      <c r="K185" s="615"/>
      <c r="L185" s="615"/>
      <c r="M185" s="615"/>
      <c r="N185" s="615"/>
      <c r="O185" s="615">
        <f>+C185-(SUM(D185:N185))</f>
        <v>0</v>
      </c>
      <c r="P185" s="281"/>
    </row>
    <row r="186" spans="1:16" s="73" customFormat="1">
      <c r="A186" s="150"/>
      <c r="B186" s="310"/>
      <c r="C186" s="615"/>
      <c r="D186" s="615"/>
      <c r="E186" s="619"/>
      <c r="F186" s="697"/>
      <c r="G186" s="615"/>
      <c r="H186" s="615"/>
      <c r="I186" s="615"/>
      <c r="J186" s="615"/>
      <c r="K186" s="615"/>
      <c r="L186" s="615"/>
      <c r="M186" s="615"/>
      <c r="N186" s="615"/>
      <c r="O186" s="615">
        <f>+C186-(SUM(D186:N186))</f>
        <v>0</v>
      </c>
      <c r="P186" s="281"/>
    </row>
    <row r="187" spans="1:16" s="73" customFormat="1" hidden="1">
      <c r="A187" s="150"/>
      <c r="B187" s="313"/>
      <c r="C187" s="614"/>
      <c r="D187" s="614"/>
      <c r="E187" s="619"/>
      <c r="F187" s="697"/>
      <c r="G187" s="614"/>
      <c r="H187" s="614"/>
      <c r="I187" s="614"/>
      <c r="J187" s="614"/>
      <c r="K187" s="614"/>
      <c r="L187" s="615"/>
      <c r="M187" s="615"/>
      <c r="N187" s="615"/>
      <c r="O187" s="614"/>
      <c r="P187" s="281"/>
    </row>
    <row r="188" spans="1:16" s="73" customFormat="1">
      <c r="A188" s="149"/>
      <c r="B188" s="292" t="s">
        <v>164</v>
      </c>
      <c r="C188" s="616">
        <f t="shared" ref="C188:N188" si="39">SUM(C185:C186)</f>
        <v>0</v>
      </c>
      <c r="D188" s="616">
        <f t="shared" si="39"/>
        <v>0</v>
      </c>
      <c r="E188" s="616">
        <f t="shared" si="39"/>
        <v>0</v>
      </c>
      <c r="F188" s="694">
        <f t="shared" si="39"/>
        <v>0</v>
      </c>
      <c r="G188" s="616">
        <f t="shared" si="39"/>
        <v>0</v>
      </c>
      <c r="H188" s="616">
        <f t="shared" si="39"/>
        <v>0</v>
      </c>
      <c r="I188" s="616">
        <f t="shared" si="39"/>
        <v>0</v>
      </c>
      <c r="J188" s="616">
        <f t="shared" si="39"/>
        <v>0</v>
      </c>
      <c r="K188" s="616">
        <f t="shared" si="39"/>
        <v>0</v>
      </c>
      <c r="L188" s="616">
        <f t="shared" si="39"/>
        <v>0</v>
      </c>
      <c r="M188" s="616">
        <f t="shared" si="39"/>
        <v>0</v>
      </c>
      <c r="N188" s="616">
        <f t="shared" si="39"/>
        <v>0</v>
      </c>
      <c r="O188" s="616">
        <f>SUM(O185:O186)</f>
        <v>0</v>
      </c>
      <c r="P188" s="281"/>
    </row>
    <row r="189" spans="1:16" s="73" customFormat="1" ht="13">
      <c r="A189" s="150"/>
      <c r="B189" s="289" t="s">
        <v>228</v>
      </c>
      <c r="C189" s="614"/>
      <c r="D189" s="614"/>
      <c r="E189" s="614"/>
      <c r="F189" s="692"/>
      <c r="G189" s="614"/>
      <c r="H189" s="614"/>
      <c r="I189" s="614"/>
      <c r="J189" s="614"/>
      <c r="K189" s="614"/>
      <c r="L189" s="614"/>
      <c r="M189" s="614"/>
      <c r="N189" s="614"/>
      <c r="O189" s="614"/>
      <c r="P189" s="281"/>
    </row>
    <row r="190" spans="1:16" s="73" customFormat="1">
      <c r="A190" s="150"/>
      <c r="B190" s="310"/>
      <c r="C190" s="615"/>
      <c r="D190" s="615"/>
      <c r="E190" s="619"/>
      <c r="F190" s="697"/>
      <c r="G190" s="615"/>
      <c r="H190" s="615"/>
      <c r="I190" s="615"/>
      <c r="J190" s="615"/>
      <c r="K190" s="615"/>
      <c r="L190" s="615"/>
      <c r="M190" s="615"/>
      <c r="N190" s="615"/>
      <c r="O190" s="615">
        <f>+C190-(SUM(D190:N190))</f>
        <v>0</v>
      </c>
      <c r="P190" s="281"/>
    </row>
    <row r="191" spans="1:16" s="73" customFormat="1">
      <c r="A191" s="150"/>
      <c r="B191" s="310"/>
      <c r="C191" s="615"/>
      <c r="D191" s="615"/>
      <c r="E191" s="619"/>
      <c r="F191" s="697"/>
      <c r="G191" s="615"/>
      <c r="H191" s="615"/>
      <c r="I191" s="615"/>
      <c r="J191" s="615"/>
      <c r="K191" s="615"/>
      <c r="L191" s="615"/>
      <c r="M191" s="615"/>
      <c r="N191" s="615"/>
      <c r="O191" s="615">
        <f>+C191-(SUM(D191:N191))</f>
        <v>0</v>
      </c>
      <c r="P191" s="281"/>
    </row>
    <row r="192" spans="1:16" s="73" customFormat="1" hidden="1">
      <c r="A192" s="150"/>
      <c r="B192" s="313"/>
      <c r="C192" s="614"/>
      <c r="D192" s="614"/>
      <c r="E192" s="619"/>
      <c r="F192" s="697"/>
      <c r="G192" s="614"/>
      <c r="H192" s="614"/>
      <c r="I192" s="614"/>
      <c r="J192" s="614"/>
      <c r="K192" s="614"/>
      <c r="L192" s="615"/>
      <c r="M192" s="615"/>
      <c r="N192" s="615"/>
      <c r="O192" s="614"/>
      <c r="P192" s="281"/>
    </row>
    <row r="193" spans="1:16" s="73" customFormat="1">
      <c r="A193" s="149"/>
      <c r="B193" s="292" t="s">
        <v>159</v>
      </c>
      <c r="C193" s="616">
        <f t="shared" ref="C193:N193" si="40">SUM(C190:C191)</f>
        <v>0</v>
      </c>
      <c r="D193" s="616">
        <f t="shared" si="40"/>
        <v>0</v>
      </c>
      <c r="E193" s="616">
        <f t="shared" si="40"/>
        <v>0</v>
      </c>
      <c r="F193" s="694">
        <f t="shared" si="40"/>
        <v>0</v>
      </c>
      <c r="G193" s="616">
        <f t="shared" si="40"/>
        <v>0</v>
      </c>
      <c r="H193" s="616">
        <f t="shared" si="40"/>
        <v>0</v>
      </c>
      <c r="I193" s="616">
        <f t="shared" si="40"/>
        <v>0</v>
      </c>
      <c r="J193" s="616">
        <f t="shared" si="40"/>
        <v>0</v>
      </c>
      <c r="K193" s="616">
        <f t="shared" si="40"/>
        <v>0</v>
      </c>
      <c r="L193" s="616">
        <f t="shared" si="40"/>
        <v>0</v>
      </c>
      <c r="M193" s="616">
        <f t="shared" si="40"/>
        <v>0</v>
      </c>
      <c r="N193" s="616">
        <f t="shared" si="40"/>
        <v>0</v>
      </c>
      <c r="O193" s="616">
        <f>SUM(O190:O191)</f>
        <v>0</v>
      </c>
      <c r="P193" s="281"/>
    </row>
    <row r="194" spans="1:16" s="73" customFormat="1" ht="13">
      <c r="A194" s="150"/>
      <c r="B194" s="289" t="s">
        <v>4</v>
      </c>
      <c r="C194" s="614"/>
      <c r="D194" s="614"/>
      <c r="E194" s="614"/>
      <c r="F194" s="692"/>
      <c r="G194" s="614"/>
      <c r="H194" s="614"/>
      <c r="I194" s="614"/>
      <c r="J194" s="614"/>
      <c r="K194" s="614"/>
      <c r="L194" s="614"/>
      <c r="M194" s="614"/>
      <c r="N194" s="614"/>
      <c r="O194" s="614"/>
      <c r="P194" s="281"/>
    </row>
    <row r="195" spans="1:16" s="73" customFormat="1">
      <c r="A195" s="150"/>
      <c r="B195" s="310"/>
      <c r="C195" s="615"/>
      <c r="D195" s="615"/>
      <c r="E195" s="619"/>
      <c r="F195" s="697"/>
      <c r="G195" s="615"/>
      <c r="H195" s="615"/>
      <c r="I195" s="615"/>
      <c r="J195" s="615"/>
      <c r="K195" s="615"/>
      <c r="L195" s="615"/>
      <c r="M195" s="615"/>
      <c r="N195" s="615"/>
      <c r="O195" s="615">
        <f>+C195-(SUM(D195:N195))</f>
        <v>0</v>
      </c>
      <c r="P195" s="281"/>
    </row>
    <row r="196" spans="1:16" s="73" customFormat="1">
      <c r="A196" s="150"/>
      <c r="B196" s="310"/>
      <c r="C196" s="615"/>
      <c r="D196" s="615"/>
      <c r="E196" s="619"/>
      <c r="F196" s="697"/>
      <c r="G196" s="615"/>
      <c r="H196" s="615"/>
      <c r="I196" s="615"/>
      <c r="J196" s="615"/>
      <c r="K196" s="615"/>
      <c r="L196" s="615"/>
      <c r="M196" s="615"/>
      <c r="N196" s="615"/>
      <c r="O196" s="615">
        <f>+C196-(SUM(D196:N196))</f>
        <v>0</v>
      </c>
      <c r="P196" s="281"/>
    </row>
    <row r="197" spans="1:16" s="73" customFormat="1" hidden="1">
      <c r="A197" s="150"/>
      <c r="B197" s="313"/>
      <c r="C197" s="614"/>
      <c r="D197" s="614"/>
      <c r="E197" s="619"/>
      <c r="F197" s="697"/>
      <c r="G197" s="614"/>
      <c r="H197" s="614"/>
      <c r="I197" s="614"/>
      <c r="J197" s="614"/>
      <c r="K197" s="614"/>
      <c r="L197" s="615"/>
      <c r="M197" s="615"/>
      <c r="N197" s="615"/>
      <c r="O197" s="614"/>
      <c r="P197" s="281"/>
    </row>
    <row r="198" spans="1:16" s="73" customFormat="1">
      <c r="A198" s="149"/>
      <c r="B198" s="292" t="s">
        <v>160</v>
      </c>
      <c r="C198" s="616">
        <f t="shared" ref="C198:N198" si="41">SUM(C195:C196)</f>
        <v>0</v>
      </c>
      <c r="D198" s="616">
        <f t="shared" si="41"/>
        <v>0</v>
      </c>
      <c r="E198" s="616">
        <f t="shared" si="41"/>
        <v>0</v>
      </c>
      <c r="F198" s="694">
        <f t="shared" si="41"/>
        <v>0</v>
      </c>
      <c r="G198" s="616">
        <f t="shared" si="41"/>
        <v>0</v>
      </c>
      <c r="H198" s="616">
        <f t="shared" si="41"/>
        <v>0</v>
      </c>
      <c r="I198" s="616">
        <f t="shared" si="41"/>
        <v>0</v>
      </c>
      <c r="J198" s="616">
        <f t="shared" si="41"/>
        <v>0</v>
      </c>
      <c r="K198" s="616">
        <f t="shared" si="41"/>
        <v>0</v>
      </c>
      <c r="L198" s="616">
        <f t="shared" si="41"/>
        <v>0</v>
      </c>
      <c r="M198" s="616">
        <f t="shared" si="41"/>
        <v>0</v>
      </c>
      <c r="N198" s="616">
        <f t="shared" si="41"/>
        <v>0</v>
      </c>
      <c r="O198" s="616">
        <f>SUM(O195:O196)</f>
        <v>0</v>
      </c>
      <c r="P198" s="281"/>
    </row>
    <row r="199" spans="1:16" s="73" customFormat="1" ht="13">
      <c r="A199" s="150"/>
      <c r="B199" s="289" t="s">
        <v>29</v>
      </c>
      <c r="C199" s="614"/>
      <c r="D199" s="614"/>
      <c r="E199" s="614"/>
      <c r="F199" s="692"/>
      <c r="G199" s="614"/>
      <c r="H199" s="614"/>
      <c r="I199" s="614"/>
      <c r="J199" s="614"/>
      <c r="K199" s="614"/>
      <c r="L199" s="614"/>
      <c r="M199" s="614"/>
      <c r="N199" s="614"/>
      <c r="O199" s="614"/>
      <c r="P199" s="281"/>
    </row>
    <row r="200" spans="1:16" s="73" customFormat="1" ht="13">
      <c r="A200" s="150"/>
      <c r="B200" s="306"/>
      <c r="C200" s="615"/>
      <c r="D200" s="615"/>
      <c r="E200" s="619"/>
      <c r="F200" s="697"/>
      <c r="G200" s="615"/>
      <c r="H200" s="615"/>
      <c r="I200" s="615"/>
      <c r="J200" s="615"/>
      <c r="K200" s="615"/>
      <c r="L200" s="615"/>
      <c r="M200" s="615"/>
      <c r="N200" s="615"/>
      <c r="O200" s="615">
        <f>+C200-(SUM(D200:N200))</f>
        <v>0</v>
      </c>
      <c r="P200" s="281"/>
    </row>
    <row r="201" spans="1:16" s="73" customFormat="1">
      <c r="A201" s="150"/>
      <c r="B201" s="310"/>
      <c r="C201" s="615"/>
      <c r="D201" s="615"/>
      <c r="E201" s="619"/>
      <c r="F201" s="697"/>
      <c r="G201" s="615"/>
      <c r="H201" s="615"/>
      <c r="I201" s="615"/>
      <c r="J201" s="615"/>
      <c r="K201" s="615"/>
      <c r="L201" s="615"/>
      <c r="M201" s="615"/>
      <c r="N201" s="615"/>
      <c r="O201" s="615">
        <f>+C201-(SUM(D201:N201))</f>
        <v>0</v>
      </c>
      <c r="P201" s="281"/>
    </row>
    <row r="202" spans="1:16" s="73" customFormat="1" hidden="1">
      <c r="A202" s="150"/>
      <c r="B202" s="313"/>
      <c r="C202" s="614"/>
      <c r="D202" s="614"/>
      <c r="E202" s="619"/>
      <c r="F202" s="697"/>
      <c r="G202" s="614"/>
      <c r="H202" s="614"/>
      <c r="I202" s="614"/>
      <c r="J202" s="614"/>
      <c r="K202" s="614"/>
      <c r="L202" s="615"/>
      <c r="M202" s="615"/>
      <c r="N202" s="615"/>
      <c r="O202" s="614"/>
      <c r="P202" s="281"/>
    </row>
    <row r="203" spans="1:16" s="73" customFormat="1">
      <c r="A203" s="149"/>
      <c r="B203" s="292" t="s">
        <v>170</v>
      </c>
      <c r="C203" s="616">
        <f t="shared" ref="C203:N203" si="42">SUM(C200:C201)</f>
        <v>0</v>
      </c>
      <c r="D203" s="616">
        <f t="shared" si="42"/>
        <v>0</v>
      </c>
      <c r="E203" s="616">
        <f t="shared" si="42"/>
        <v>0</v>
      </c>
      <c r="F203" s="694">
        <f t="shared" si="42"/>
        <v>0</v>
      </c>
      <c r="G203" s="616">
        <f t="shared" si="42"/>
        <v>0</v>
      </c>
      <c r="H203" s="616">
        <f t="shared" si="42"/>
        <v>0</v>
      </c>
      <c r="I203" s="616">
        <f t="shared" si="42"/>
        <v>0</v>
      </c>
      <c r="J203" s="616">
        <f t="shared" si="42"/>
        <v>0</v>
      </c>
      <c r="K203" s="616">
        <f t="shared" si="42"/>
        <v>0</v>
      </c>
      <c r="L203" s="616">
        <f t="shared" si="42"/>
        <v>0</v>
      </c>
      <c r="M203" s="616">
        <f t="shared" si="42"/>
        <v>0</v>
      </c>
      <c r="N203" s="616">
        <f t="shared" si="42"/>
        <v>0</v>
      </c>
      <c r="O203" s="616">
        <f>SUM(O200:O201)</f>
        <v>0</v>
      </c>
      <c r="P203" s="281"/>
    </row>
    <row r="204" spans="1:16" s="73" customFormat="1" ht="13">
      <c r="A204" s="150"/>
      <c r="B204" s="305" t="s">
        <v>171</v>
      </c>
      <c r="C204" s="617">
        <f t="shared" ref="C204:J204" si="43">SUM(C203,C198,C193,C188,C183,C178,C173,C168)</f>
        <v>0</v>
      </c>
      <c r="D204" s="617">
        <f t="shared" si="43"/>
        <v>0</v>
      </c>
      <c r="E204" s="617">
        <f t="shared" si="43"/>
        <v>0</v>
      </c>
      <c r="F204" s="695">
        <f t="shared" si="43"/>
        <v>0</v>
      </c>
      <c r="G204" s="617">
        <f t="shared" si="43"/>
        <v>0</v>
      </c>
      <c r="H204" s="617">
        <f>SUM(H203,H198,H193,H188,H183,H178,H173,H168)</f>
        <v>0</v>
      </c>
      <c r="I204" s="617">
        <f>SUM(I203,I198,I193,I188,I183,I178,I173,I168)</f>
        <v>0</v>
      </c>
      <c r="J204" s="617">
        <f t="shared" si="43"/>
        <v>0</v>
      </c>
      <c r="K204" s="617">
        <f>SUM(K203,K198,K193,K188,K183,K178,K173,K168)</f>
        <v>0</v>
      </c>
      <c r="L204" s="617">
        <f>SUM(L203,L198,L193,L188,L183,L178,L173,L168)</f>
        <v>0</v>
      </c>
      <c r="M204" s="617">
        <f>SUM(M203,M198,M193,M188,M183,M178,M173,M168)</f>
        <v>0</v>
      </c>
      <c r="N204" s="617">
        <f>SUM(N203,N198,N193,N188,N183,N178,N173,N168)</f>
        <v>0</v>
      </c>
      <c r="O204" s="617">
        <f>SUM(O203,O198,O193,O188,O183,O178,O173,O168)</f>
        <v>0</v>
      </c>
      <c r="P204" s="281"/>
    </row>
    <row r="205" spans="1:16" s="73" customFormat="1" ht="13">
      <c r="A205" s="151"/>
      <c r="B205" s="724" t="s">
        <v>236</v>
      </c>
      <c r="C205" s="725"/>
      <c r="D205" s="725"/>
      <c r="E205" s="725"/>
      <c r="F205" s="725"/>
      <c r="G205" s="725"/>
      <c r="H205" s="725"/>
      <c r="I205" s="725"/>
      <c r="J205" s="725"/>
      <c r="K205" s="261"/>
      <c r="L205" s="261"/>
      <c r="M205" s="261"/>
      <c r="N205" s="261"/>
      <c r="O205" s="262"/>
      <c r="P205" s="281"/>
    </row>
    <row r="206" spans="1:16" s="73" customFormat="1" ht="13">
      <c r="A206" s="149"/>
      <c r="B206" s="289" t="s">
        <v>18</v>
      </c>
      <c r="C206" s="614"/>
      <c r="D206" s="614"/>
      <c r="E206" s="614"/>
      <c r="F206" s="692"/>
      <c r="G206" s="614"/>
      <c r="H206" s="614"/>
      <c r="I206" s="614"/>
      <c r="J206" s="614"/>
      <c r="K206" s="614"/>
      <c r="L206" s="614"/>
      <c r="M206" s="614"/>
      <c r="N206" s="614"/>
      <c r="O206" s="614"/>
      <c r="P206" s="281"/>
    </row>
    <row r="207" spans="1:16" s="73" customFormat="1">
      <c r="A207" s="149"/>
      <c r="B207" s="296"/>
      <c r="C207" s="615"/>
      <c r="D207" s="615"/>
      <c r="E207" s="619"/>
      <c r="F207" s="697"/>
      <c r="G207" s="615"/>
      <c r="H207" s="615"/>
      <c r="I207" s="615"/>
      <c r="J207" s="615"/>
      <c r="K207" s="615"/>
      <c r="L207" s="615"/>
      <c r="M207" s="615"/>
      <c r="N207" s="615"/>
      <c r="O207" s="615">
        <f>+C207-(SUM(D207:N207))</f>
        <v>0</v>
      </c>
      <c r="P207" s="281"/>
    </row>
    <row r="208" spans="1:16" s="73" customFormat="1">
      <c r="A208" s="149"/>
      <c r="B208" s="296"/>
      <c r="C208" s="615"/>
      <c r="D208" s="615"/>
      <c r="E208" s="619"/>
      <c r="F208" s="697"/>
      <c r="G208" s="615"/>
      <c r="H208" s="615"/>
      <c r="I208" s="615"/>
      <c r="J208" s="615"/>
      <c r="K208" s="615"/>
      <c r="L208" s="615"/>
      <c r="M208" s="615"/>
      <c r="N208" s="615"/>
      <c r="O208" s="615">
        <f>+C208-(SUM(D208:N208))</f>
        <v>0</v>
      </c>
      <c r="P208" s="281"/>
    </row>
    <row r="209" spans="1:16" s="73" customFormat="1" hidden="1">
      <c r="A209" s="149"/>
      <c r="B209" s="312"/>
      <c r="C209" s="614"/>
      <c r="D209" s="614"/>
      <c r="E209" s="619"/>
      <c r="F209" s="697"/>
      <c r="G209" s="614"/>
      <c r="H209" s="614"/>
      <c r="I209" s="614"/>
      <c r="J209" s="614"/>
      <c r="K209" s="614"/>
      <c r="L209" s="615"/>
      <c r="M209" s="615"/>
      <c r="N209" s="615"/>
      <c r="O209" s="614"/>
      <c r="P209" s="281"/>
    </row>
    <row r="210" spans="1:16" s="73" customFormat="1">
      <c r="A210" s="149"/>
      <c r="B210" s="292" t="s">
        <v>182</v>
      </c>
      <c r="C210" s="616">
        <f t="shared" ref="C210:N210" si="44">SUM(C207:C208)</f>
        <v>0</v>
      </c>
      <c r="D210" s="616">
        <f t="shared" si="44"/>
        <v>0</v>
      </c>
      <c r="E210" s="616">
        <f t="shared" si="44"/>
        <v>0</v>
      </c>
      <c r="F210" s="694">
        <f t="shared" si="44"/>
        <v>0</v>
      </c>
      <c r="G210" s="616">
        <f t="shared" si="44"/>
        <v>0</v>
      </c>
      <c r="H210" s="616">
        <f t="shared" si="44"/>
        <v>0</v>
      </c>
      <c r="I210" s="616">
        <f t="shared" si="44"/>
        <v>0</v>
      </c>
      <c r="J210" s="616">
        <f t="shared" si="44"/>
        <v>0</v>
      </c>
      <c r="K210" s="616">
        <f t="shared" si="44"/>
        <v>0</v>
      </c>
      <c r="L210" s="616">
        <f t="shared" si="44"/>
        <v>0</v>
      </c>
      <c r="M210" s="616">
        <f t="shared" si="44"/>
        <v>0</v>
      </c>
      <c r="N210" s="616">
        <f t="shared" si="44"/>
        <v>0</v>
      </c>
      <c r="O210" s="616">
        <f>SUM(O207:O208)</f>
        <v>0</v>
      </c>
      <c r="P210" s="281"/>
    </row>
    <row r="211" spans="1:16" s="73" customFormat="1" ht="13">
      <c r="A211" s="150"/>
      <c r="B211" s="289" t="s">
        <v>10</v>
      </c>
      <c r="C211" s="614"/>
      <c r="D211" s="614"/>
      <c r="E211" s="614"/>
      <c r="F211" s="692"/>
      <c r="G211" s="614"/>
      <c r="H211" s="614"/>
      <c r="I211" s="614"/>
      <c r="J211" s="614"/>
      <c r="K211" s="614"/>
      <c r="L211" s="614"/>
      <c r="M211" s="614"/>
      <c r="N211" s="614"/>
      <c r="O211" s="614"/>
      <c r="P211" s="281"/>
    </row>
    <row r="212" spans="1:16" s="73" customFormat="1">
      <c r="A212" s="150"/>
      <c r="B212" s="646"/>
      <c r="C212" s="615"/>
      <c r="D212" s="615"/>
      <c r="E212" s="619"/>
      <c r="F212" s="697"/>
      <c r="G212" s="615"/>
      <c r="H212" s="615"/>
      <c r="I212" s="615"/>
      <c r="J212" s="615"/>
      <c r="K212" s="615"/>
      <c r="L212" s="615"/>
      <c r="M212" s="615"/>
      <c r="N212" s="615"/>
      <c r="O212" s="615">
        <f>+C212-(SUM(D212:N212))</f>
        <v>0</v>
      </c>
      <c r="P212" s="281"/>
    </row>
    <row r="213" spans="1:16" s="73" customFormat="1">
      <c r="A213" s="150"/>
      <c r="B213" s="646"/>
      <c r="C213" s="615"/>
      <c r="D213" s="615"/>
      <c r="E213" s="619"/>
      <c r="F213" s="697"/>
      <c r="G213" s="615"/>
      <c r="H213" s="615"/>
      <c r="I213" s="615"/>
      <c r="J213" s="615"/>
      <c r="K213" s="615"/>
      <c r="L213" s="615"/>
      <c r="M213" s="615"/>
      <c r="N213" s="615"/>
      <c r="O213" s="615">
        <f>+C213-(SUM(D213:N213))</f>
        <v>0</v>
      </c>
      <c r="P213" s="281"/>
    </row>
    <row r="214" spans="1:16" s="73" customFormat="1" hidden="1">
      <c r="A214" s="150"/>
      <c r="B214" s="313"/>
      <c r="C214" s="614"/>
      <c r="D214" s="614"/>
      <c r="E214" s="619"/>
      <c r="F214" s="697"/>
      <c r="G214" s="614"/>
      <c r="H214" s="614"/>
      <c r="I214" s="614"/>
      <c r="J214" s="614"/>
      <c r="K214" s="614"/>
      <c r="L214" s="615"/>
      <c r="M214" s="615"/>
      <c r="N214" s="615"/>
      <c r="O214" s="614"/>
      <c r="P214" s="281"/>
    </row>
    <row r="215" spans="1:16" s="73" customFormat="1">
      <c r="A215" s="149"/>
      <c r="B215" s="292" t="s">
        <v>183</v>
      </c>
      <c r="C215" s="616">
        <f t="shared" ref="C215:N215" si="45">SUM(C212:C213)</f>
        <v>0</v>
      </c>
      <c r="D215" s="616">
        <f t="shared" si="45"/>
        <v>0</v>
      </c>
      <c r="E215" s="616">
        <f t="shared" si="45"/>
        <v>0</v>
      </c>
      <c r="F215" s="694">
        <f t="shared" si="45"/>
        <v>0</v>
      </c>
      <c r="G215" s="616">
        <f t="shared" si="45"/>
        <v>0</v>
      </c>
      <c r="H215" s="616">
        <f t="shared" si="45"/>
        <v>0</v>
      </c>
      <c r="I215" s="616">
        <f t="shared" si="45"/>
        <v>0</v>
      </c>
      <c r="J215" s="616">
        <f t="shared" si="45"/>
        <v>0</v>
      </c>
      <c r="K215" s="616">
        <f t="shared" si="45"/>
        <v>0</v>
      </c>
      <c r="L215" s="616">
        <f t="shared" si="45"/>
        <v>0</v>
      </c>
      <c r="M215" s="616">
        <f t="shared" si="45"/>
        <v>0</v>
      </c>
      <c r="N215" s="616">
        <f t="shared" si="45"/>
        <v>0</v>
      </c>
      <c r="O215" s="616">
        <f>SUM(O212:O213)</f>
        <v>0</v>
      </c>
      <c r="P215" s="281"/>
    </row>
    <row r="216" spans="1:16" s="73" customFormat="1" ht="13">
      <c r="A216" s="150"/>
      <c r="B216" s="289" t="s">
        <v>11</v>
      </c>
      <c r="C216" s="614"/>
      <c r="D216" s="614"/>
      <c r="E216" s="614"/>
      <c r="F216" s="692"/>
      <c r="G216" s="614"/>
      <c r="H216" s="614"/>
      <c r="I216" s="614"/>
      <c r="J216" s="614"/>
      <c r="K216" s="614"/>
      <c r="L216" s="614"/>
      <c r="M216" s="614"/>
      <c r="N216" s="614"/>
      <c r="O216" s="614"/>
      <c r="P216" s="281"/>
    </row>
    <row r="217" spans="1:16" s="73" customFormat="1">
      <c r="A217" s="150"/>
      <c r="B217" s="310"/>
      <c r="C217" s="615"/>
      <c r="D217" s="615"/>
      <c r="E217" s="619"/>
      <c r="F217" s="697"/>
      <c r="G217" s="615"/>
      <c r="H217" s="615"/>
      <c r="I217" s="615"/>
      <c r="J217" s="615"/>
      <c r="K217" s="615"/>
      <c r="L217" s="615"/>
      <c r="M217" s="615"/>
      <c r="N217" s="615"/>
      <c r="O217" s="615">
        <f>+C217-(SUM(D217:N217))</f>
        <v>0</v>
      </c>
      <c r="P217" s="281"/>
    </row>
    <row r="218" spans="1:16" s="73" customFormat="1">
      <c r="A218" s="150"/>
      <c r="B218" s="310"/>
      <c r="C218" s="615"/>
      <c r="D218" s="615"/>
      <c r="E218" s="619"/>
      <c r="F218" s="697"/>
      <c r="G218" s="615"/>
      <c r="H218" s="615"/>
      <c r="I218" s="615"/>
      <c r="J218" s="615"/>
      <c r="K218" s="615"/>
      <c r="L218" s="615"/>
      <c r="M218" s="615"/>
      <c r="N218" s="615"/>
      <c r="O218" s="615">
        <f>+C218-(SUM(D218:N218))</f>
        <v>0</v>
      </c>
      <c r="P218" s="281"/>
    </row>
    <row r="219" spans="1:16" s="73" customFormat="1" hidden="1">
      <c r="A219" s="150"/>
      <c r="B219" s="313"/>
      <c r="C219" s="614"/>
      <c r="D219" s="614"/>
      <c r="E219" s="619"/>
      <c r="F219" s="697"/>
      <c r="G219" s="614"/>
      <c r="H219" s="614"/>
      <c r="I219" s="614"/>
      <c r="J219" s="614"/>
      <c r="K219" s="614"/>
      <c r="L219" s="615"/>
      <c r="M219" s="615"/>
      <c r="N219" s="615"/>
      <c r="O219" s="614"/>
      <c r="P219" s="281"/>
    </row>
    <row r="220" spans="1:16" s="73" customFormat="1">
      <c r="A220" s="149"/>
      <c r="B220" s="292" t="s">
        <v>184</v>
      </c>
      <c r="C220" s="616">
        <f t="shared" ref="C220:N220" si="46">SUM(C217:C218)</f>
        <v>0</v>
      </c>
      <c r="D220" s="616">
        <f t="shared" si="46"/>
        <v>0</v>
      </c>
      <c r="E220" s="616">
        <f t="shared" si="46"/>
        <v>0</v>
      </c>
      <c r="F220" s="694">
        <f t="shared" si="46"/>
        <v>0</v>
      </c>
      <c r="G220" s="616">
        <f t="shared" si="46"/>
        <v>0</v>
      </c>
      <c r="H220" s="616">
        <f t="shared" si="46"/>
        <v>0</v>
      </c>
      <c r="I220" s="616">
        <f t="shared" si="46"/>
        <v>0</v>
      </c>
      <c r="J220" s="616">
        <f t="shared" si="46"/>
        <v>0</v>
      </c>
      <c r="K220" s="616">
        <f t="shared" si="46"/>
        <v>0</v>
      </c>
      <c r="L220" s="616">
        <f t="shared" si="46"/>
        <v>0</v>
      </c>
      <c r="M220" s="616">
        <f t="shared" si="46"/>
        <v>0</v>
      </c>
      <c r="N220" s="616">
        <f t="shared" si="46"/>
        <v>0</v>
      </c>
      <c r="O220" s="616">
        <f>SUM(O217:O218)</f>
        <v>0</v>
      </c>
      <c r="P220" s="281"/>
    </row>
    <row r="221" spans="1:16" s="73" customFormat="1" ht="13">
      <c r="A221" s="150"/>
      <c r="B221" s="289" t="s">
        <v>12</v>
      </c>
      <c r="C221" s="614"/>
      <c r="D221" s="614"/>
      <c r="E221" s="614"/>
      <c r="F221" s="692"/>
      <c r="G221" s="614"/>
      <c r="H221" s="614"/>
      <c r="I221" s="614"/>
      <c r="J221" s="614"/>
      <c r="K221" s="614"/>
      <c r="L221" s="614"/>
      <c r="M221" s="614"/>
      <c r="N221" s="614"/>
      <c r="O221" s="614"/>
      <c r="P221" s="281"/>
    </row>
    <row r="222" spans="1:16" s="73" customFormat="1">
      <c r="A222" s="150"/>
      <c r="B222" s="310"/>
      <c r="C222" s="615"/>
      <c r="D222" s="615"/>
      <c r="E222" s="619"/>
      <c r="F222" s="697"/>
      <c r="G222" s="615"/>
      <c r="H222" s="615"/>
      <c r="I222" s="615"/>
      <c r="J222" s="615"/>
      <c r="K222" s="615"/>
      <c r="L222" s="615"/>
      <c r="M222" s="615"/>
      <c r="N222" s="615"/>
      <c r="O222" s="615">
        <f>+C222-(SUM(D222:N222))</f>
        <v>0</v>
      </c>
      <c r="P222" s="281"/>
    </row>
    <row r="223" spans="1:16" s="73" customFormat="1">
      <c r="A223" s="150"/>
      <c r="B223" s="310"/>
      <c r="C223" s="615"/>
      <c r="D223" s="615"/>
      <c r="E223" s="619"/>
      <c r="F223" s="697"/>
      <c r="G223" s="615"/>
      <c r="H223" s="615"/>
      <c r="I223" s="615"/>
      <c r="J223" s="615"/>
      <c r="K223" s="615"/>
      <c r="L223" s="615"/>
      <c r="M223" s="615"/>
      <c r="N223" s="615"/>
      <c r="O223" s="615">
        <f>+C223-(SUM(D223:N223))</f>
        <v>0</v>
      </c>
      <c r="P223" s="281"/>
    </row>
    <row r="224" spans="1:16" s="73" customFormat="1" hidden="1">
      <c r="A224" s="150"/>
      <c r="B224" s="313"/>
      <c r="C224" s="614"/>
      <c r="D224" s="614"/>
      <c r="E224" s="619"/>
      <c r="F224" s="697"/>
      <c r="G224" s="614"/>
      <c r="H224" s="614"/>
      <c r="I224" s="614"/>
      <c r="J224" s="614"/>
      <c r="K224" s="614"/>
      <c r="L224" s="615"/>
      <c r="M224" s="615"/>
      <c r="N224" s="615"/>
      <c r="O224" s="614"/>
      <c r="P224" s="281"/>
    </row>
    <row r="225" spans="1:16" s="73" customFormat="1">
      <c r="A225" s="149"/>
      <c r="B225" s="292" t="s">
        <v>185</v>
      </c>
      <c r="C225" s="616">
        <f t="shared" ref="C225:N225" si="47">SUM(C222:C224)</f>
        <v>0</v>
      </c>
      <c r="D225" s="616">
        <f t="shared" si="47"/>
        <v>0</v>
      </c>
      <c r="E225" s="616">
        <f t="shared" si="47"/>
        <v>0</v>
      </c>
      <c r="F225" s="694">
        <f t="shared" si="47"/>
        <v>0</v>
      </c>
      <c r="G225" s="616">
        <f t="shared" si="47"/>
        <v>0</v>
      </c>
      <c r="H225" s="616">
        <f t="shared" si="47"/>
        <v>0</v>
      </c>
      <c r="I225" s="616">
        <f t="shared" si="47"/>
        <v>0</v>
      </c>
      <c r="J225" s="616">
        <f t="shared" si="47"/>
        <v>0</v>
      </c>
      <c r="K225" s="616">
        <f t="shared" si="47"/>
        <v>0</v>
      </c>
      <c r="L225" s="616">
        <f t="shared" si="47"/>
        <v>0</v>
      </c>
      <c r="M225" s="616">
        <f t="shared" si="47"/>
        <v>0</v>
      </c>
      <c r="N225" s="616">
        <f t="shared" si="47"/>
        <v>0</v>
      </c>
      <c r="O225" s="616">
        <f>SUM(O222:O224)</f>
        <v>0</v>
      </c>
      <c r="P225" s="281"/>
    </row>
    <row r="226" spans="1:16" s="73" customFormat="1" ht="13">
      <c r="A226" s="150"/>
      <c r="B226" s="289" t="s">
        <v>19</v>
      </c>
      <c r="C226" s="614"/>
      <c r="D226" s="614"/>
      <c r="E226" s="614"/>
      <c r="F226" s="692"/>
      <c r="G226" s="614"/>
      <c r="H226" s="614"/>
      <c r="I226" s="614"/>
      <c r="J226" s="614"/>
      <c r="K226" s="614"/>
      <c r="L226" s="614"/>
      <c r="M226" s="614"/>
      <c r="N226" s="614"/>
      <c r="O226" s="614"/>
      <c r="P226" s="281"/>
    </row>
    <row r="227" spans="1:16" s="73" customFormat="1">
      <c r="A227" s="150"/>
      <c r="B227" s="310"/>
      <c r="C227" s="615"/>
      <c r="D227" s="615"/>
      <c r="E227" s="619"/>
      <c r="F227" s="697"/>
      <c r="G227" s="615"/>
      <c r="H227" s="615"/>
      <c r="I227" s="615"/>
      <c r="J227" s="615"/>
      <c r="K227" s="615"/>
      <c r="L227" s="615"/>
      <c r="M227" s="615"/>
      <c r="N227" s="615"/>
      <c r="O227" s="615">
        <f>+C227-(SUM(D227:N227))</f>
        <v>0</v>
      </c>
      <c r="P227" s="281"/>
    </row>
    <row r="228" spans="1:16" s="73" customFormat="1">
      <c r="A228" s="150"/>
      <c r="B228" s="310"/>
      <c r="C228" s="615"/>
      <c r="D228" s="615"/>
      <c r="E228" s="619"/>
      <c r="F228" s="697"/>
      <c r="G228" s="615"/>
      <c r="H228" s="615"/>
      <c r="I228" s="615"/>
      <c r="J228" s="615"/>
      <c r="K228" s="615"/>
      <c r="L228" s="615"/>
      <c r="M228" s="615"/>
      <c r="N228" s="615"/>
      <c r="O228" s="615">
        <f>+C228-(SUM(D228:N228))</f>
        <v>0</v>
      </c>
      <c r="P228" s="281"/>
    </row>
    <row r="229" spans="1:16" s="73" customFormat="1" hidden="1">
      <c r="A229" s="150"/>
      <c r="B229" s="313"/>
      <c r="C229" s="614"/>
      <c r="D229" s="614"/>
      <c r="E229" s="619"/>
      <c r="F229" s="697"/>
      <c r="G229" s="614"/>
      <c r="H229" s="614"/>
      <c r="I229" s="614"/>
      <c r="J229" s="614"/>
      <c r="K229" s="614"/>
      <c r="L229" s="615"/>
      <c r="M229" s="615"/>
      <c r="N229" s="615"/>
      <c r="O229" s="614"/>
      <c r="P229" s="281"/>
    </row>
    <row r="230" spans="1:16" s="73" customFormat="1">
      <c r="A230" s="149"/>
      <c r="B230" s="292" t="s">
        <v>186</v>
      </c>
      <c r="C230" s="616">
        <f t="shared" ref="C230:N230" si="48">SUM(C227:C228)</f>
        <v>0</v>
      </c>
      <c r="D230" s="616">
        <f t="shared" si="48"/>
        <v>0</v>
      </c>
      <c r="E230" s="616">
        <f t="shared" si="48"/>
        <v>0</v>
      </c>
      <c r="F230" s="694">
        <f t="shared" si="48"/>
        <v>0</v>
      </c>
      <c r="G230" s="616">
        <f t="shared" si="48"/>
        <v>0</v>
      </c>
      <c r="H230" s="616">
        <f t="shared" si="48"/>
        <v>0</v>
      </c>
      <c r="I230" s="616">
        <f t="shared" si="48"/>
        <v>0</v>
      </c>
      <c r="J230" s="616">
        <f t="shared" si="48"/>
        <v>0</v>
      </c>
      <c r="K230" s="616">
        <f t="shared" si="48"/>
        <v>0</v>
      </c>
      <c r="L230" s="616">
        <f t="shared" si="48"/>
        <v>0</v>
      </c>
      <c r="M230" s="616">
        <f t="shared" si="48"/>
        <v>0</v>
      </c>
      <c r="N230" s="616">
        <f t="shared" si="48"/>
        <v>0</v>
      </c>
      <c r="O230" s="616">
        <f>SUM(O227:O228)</f>
        <v>0</v>
      </c>
      <c r="P230" s="281"/>
    </row>
    <row r="231" spans="1:16" s="73" customFormat="1" ht="13">
      <c r="A231" s="150"/>
      <c r="B231" s="289" t="s">
        <v>13</v>
      </c>
      <c r="C231" s="614"/>
      <c r="D231" s="614"/>
      <c r="E231" s="614"/>
      <c r="F231" s="692"/>
      <c r="G231" s="614"/>
      <c r="H231" s="614"/>
      <c r="I231" s="614"/>
      <c r="J231" s="614"/>
      <c r="K231" s="614"/>
      <c r="L231" s="614"/>
      <c r="M231" s="614"/>
      <c r="N231" s="614"/>
      <c r="O231" s="614"/>
      <c r="P231" s="281"/>
    </row>
    <row r="232" spans="1:16" s="73" customFormat="1">
      <c r="A232" s="150"/>
      <c r="B232" s="310"/>
      <c r="C232" s="615"/>
      <c r="D232" s="615"/>
      <c r="E232" s="619"/>
      <c r="F232" s="697"/>
      <c r="G232" s="615"/>
      <c r="H232" s="615"/>
      <c r="I232" s="615"/>
      <c r="J232" s="615"/>
      <c r="K232" s="615"/>
      <c r="L232" s="615"/>
      <c r="M232" s="615"/>
      <c r="N232" s="615"/>
      <c r="O232" s="615">
        <f>+C232-(SUM(D232:N232))</f>
        <v>0</v>
      </c>
      <c r="P232" s="281"/>
    </row>
    <row r="233" spans="1:16" s="73" customFormat="1">
      <c r="A233" s="150"/>
      <c r="B233" s="310"/>
      <c r="C233" s="615"/>
      <c r="D233" s="615"/>
      <c r="E233" s="619"/>
      <c r="F233" s="697"/>
      <c r="G233" s="615"/>
      <c r="H233" s="615"/>
      <c r="I233" s="615"/>
      <c r="J233" s="615"/>
      <c r="K233" s="615"/>
      <c r="L233" s="615"/>
      <c r="M233" s="615"/>
      <c r="N233" s="615"/>
      <c r="O233" s="615">
        <f>+C233-(SUM(D233:N233))</f>
        <v>0</v>
      </c>
      <c r="P233" s="281"/>
    </row>
    <row r="234" spans="1:16" s="73" customFormat="1" hidden="1">
      <c r="A234" s="150"/>
      <c r="B234" s="313"/>
      <c r="C234" s="614"/>
      <c r="D234" s="614"/>
      <c r="E234" s="619"/>
      <c r="F234" s="697"/>
      <c r="G234" s="614"/>
      <c r="H234" s="614"/>
      <c r="I234" s="614"/>
      <c r="J234" s="614"/>
      <c r="K234" s="614"/>
      <c r="L234" s="615"/>
      <c r="M234" s="615"/>
      <c r="N234" s="615"/>
      <c r="O234" s="614"/>
      <c r="P234" s="281"/>
    </row>
    <row r="235" spans="1:16" s="73" customFormat="1">
      <c r="A235" s="149"/>
      <c r="B235" s="292" t="s">
        <v>187</v>
      </c>
      <c r="C235" s="616">
        <f t="shared" ref="C235:N235" si="49">SUM(C232:C233)</f>
        <v>0</v>
      </c>
      <c r="D235" s="616">
        <f t="shared" si="49"/>
        <v>0</v>
      </c>
      <c r="E235" s="616">
        <f t="shared" si="49"/>
        <v>0</v>
      </c>
      <c r="F235" s="694">
        <f t="shared" si="49"/>
        <v>0</v>
      </c>
      <c r="G235" s="616">
        <f t="shared" si="49"/>
        <v>0</v>
      </c>
      <c r="H235" s="616">
        <f t="shared" si="49"/>
        <v>0</v>
      </c>
      <c r="I235" s="616">
        <f t="shared" si="49"/>
        <v>0</v>
      </c>
      <c r="J235" s="616">
        <f t="shared" si="49"/>
        <v>0</v>
      </c>
      <c r="K235" s="616">
        <f t="shared" si="49"/>
        <v>0</v>
      </c>
      <c r="L235" s="616">
        <f t="shared" si="49"/>
        <v>0</v>
      </c>
      <c r="M235" s="616">
        <f t="shared" si="49"/>
        <v>0</v>
      </c>
      <c r="N235" s="616">
        <f t="shared" si="49"/>
        <v>0</v>
      </c>
      <c r="O235" s="616">
        <f>SUM(O232:O233)</f>
        <v>0</v>
      </c>
      <c r="P235" s="281"/>
    </row>
    <row r="236" spans="1:16" s="73" customFormat="1" ht="13">
      <c r="A236" s="150"/>
      <c r="B236" s="289" t="s">
        <v>14</v>
      </c>
      <c r="C236" s="614"/>
      <c r="D236" s="614"/>
      <c r="E236" s="614"/>
      <c r="F236" s="692"/>
      <c r="G236" s="614"/>
      <c r="H236" s="614"/>
      <c r="I236" s="614"/>
      <c r="J236" s="614"/>
      <c r="K236" s="614"/>
      <c r="L236" s="614"/>
      <c r="M236" s="614"/>
      <c r="N236" s="614"/>
      <c r="O236" s="614"/>
      <c r="P236" s="281"/>
    </row>
    <row r="237" spans="1:16" s="73" customFormat="1">
      <c r="A237" s="150"/>
      <c r="B237" s="310"/>
      <c r="C237" s="615"/>
      <c r="D237" s="615"/>
      <c r="E237" s="619"/>
      <c r="F237" s="697"/>
      <c r="G237" s="615"/>
      <c r="H237" s="615"/>
      <c r="I237" s="615"/>
      <c r="J237" s="615"/>
      <c r="K237" s="615"/>
      <c r="L237" s="615"/>
      <c r="M237" s="615"/>
      <c r="N237" s="615"/>
      <c r="O237" s="615">
        <f>+C237-(SUM(D237:N237))</f>
        <v>0</v>
      </c>
      <c r="P237" s="281"/>
    </row>
    <row r="238" spans="1:16" s="73" customFormat="1">
      <c r="A238" s="150"/>
      <c r="B238" s="310"/>
      <c r="C238" s="615"/>
      <c r="D238" s="615"/>
      <c r="E238" s="619"/>
      <c r="F238" s="697"/>
      <c r="G238" s="615"/>
      <c r="H238" s="615"/>
      <c r="I238" s="615"/>
      <c r="J238" s="615"/>
      <c r="K238" s="615"/>
      <c r="L238" s="615"/>
      <c r="M238" s="615"/>
      <c r="N238" s="615"/>
      <c r="O238" s="615">
        <f>+C238-(SUM(D238:N238))</f>
        <v>0</v>
      </c>
      <c r="P238" s="281"/>
    </row>
    <row r="239" spans="1:16" s="73" customFormat="1" hidden="1">
      <c r="A239" s="150"/>
      <c r="B239" s="313"/>
      <c r="C239" s="614"/>
      <c r="D239" s="614"/>
      <c r="E239" s="619"/>
      <c r="F239" s="697"/>
      <c r="G239" s="614"/>
      <c r="H239" s="614"/>
      <c r="I239" s="614"/>
      <c r="J239" s="614"/>
      <c r="K239" s="614"/>
      <c r="L239" s="615"/>
      <c r="M239" s="615"/>
      <c r="N239" s="615"/>
      <c r="O239" s="614"/>
      <c r="P239" s="281"/>
    </row>
    <row r="240" spans="1:16" s="73" customFormat="1">
      <c r="A240" s="149"/>
      <c r="B240" s="292" t="s">
        <v>188</v>
      </c>
      <c r="C240" s="616">
        <f t="shared" ref="C240:N240" si="50">SUM(C237:C238)</f>
        <v>0</v>
      </c>
      <c r="D240" s="616">
        <f t="shared" si="50"/>
        <v>0</v>
      </c>
      <c r="E240" s="616">
        <f t="shared" si="50"/>
        <v>0</v>
      </c>
      <c r="F240" s="694">
        <f t="shared" si="50"/>
        <v>0</v>
      </c>
      <c r="G240" s="616">
        <f t="shared" si="50"/>
        <v>0</v>
      </c>
      <c r="H240" s="616">
        <f t="shared" si="50"/>
        <v>0</v>
      </c>
      <c r="I240" s="616">
        <f t="shared" si="50"/>
        <v>0</v>
      </c>
      <c r="J240" s="616">
        <f t="shared" si="50"/>
        <v>0</v>
      </c>
      <c r="K240" s="616">
        <f t="shared" si="50"/>
        <v>0</v>
      </c>
      <c r="L240" s="616">
        <f t="shared" si="50"/>
        <v>0</v>
      </c>
      <c r="M240" s="616">
        <f t="shared" si="50"/>
        <v>0</v>
      </c>
      <c r="N240" s="616">
        <f t="shared" si="50"/>
        <v>0</v>
      </c>
      <c r="O240" s="616">
        <f>SUM(O237:O238)</f>
        <v>0</v>
      </c>
      <c r="P240" s="281"/>
    </row>
    <row r="241" spans="1:16" s="73" customFormat="1" ht="13">
      <c r="A241" s="150"/>
      <c r="B241" s="289" t="s">
        <v>15</v>
      </c>
      <c r="C241" s="614"/>
      <c r="D241" s="614"/>
      <c r="E241" s="614"/>
      <c r="F241" s="692"/>
      <c r="G241" s="614"/>
      <c r="H241" s="614"/>
      <c r="I241" s="614"/>
      <c r="J241" s="614"/>
      <c r="K241" s="614"/>
      <c r="L241" s="614"/>
      <c r="M241" s="614"/>
      <c r="N241" s="614"/>
      <c r="O241" s="614"/>
      <c r="P241" s="281"/>
    </row>
    <row r="242" spans="1:16" s="73" customFormat="1">
      <c r="A242" s="150"/>
      <c r="B242" s="310"/>
      <c r="C242" s="615"/>
      <c r="D242" s="615"/>
      <c r="E242" s="619"/>
      <c r="F242" s="697"/>
      <c r="G242" s="615"/>
      <c r="H242" s="615"/>
      <c r="I242" s="615"/>
      <c r="J242" s="615"/>
      <c r="K242" s="615"/>
      <c r="L242" s="615"/>
      <c r="M242" s="615"/>
      <c r="N242" s="615"/>
      <c r="O242" s="615">
        <f>+C242-(SUM(D242:N242))</f>
        <v>0</v>
      </c>
      <c r="P242" s="281"/>
    </row>
    <row r="243" spans="1:16" s="73" customFormat="1">
      <c r="A243" s="150"/>
      <c r="B243" s="310"/>
      <c r="C243" s="615"/>
      <c r="D243" s="615"/>
      <c r="E243" s="619"/>
      <c r="F243" s="697"/>
      <c r="G243" s="615"/>
      <c r="H243" s="615"/>
      <c r="I243" s="615"/>
      <c r="J243" s="615"/>
      <c r="K243" s="615"/>
      <c r="L243" s="615"/>
      <c r="M243" s="615"/>
      <c r="N243" s="615"/>
      <c r="O243" s="615">
        <f>+C243-(SUM(D243:N243))</f>
        <v>0</v>
      </c>
      <c r="P243" s="281"/>
    </row>
    <row r="244" spans="1:16" s="73" customFormat="1" hidden="1">
      <c r="A244" s="150"/>
      <c r="B244" s="313"/>
      <c r="C244" s="614"/>
      <c r="D244" s="614"/>
      <c r="E244" s="619"/>
      <c r="F244" s="697"/>
      <c r="G244" s="614"/>
      <c r="H244" s="614"/>
      <c r="I244" s="614"/>
      <c r="J244" s="614"/>
      <c r="K244" s="614"/>
      <c r="L244" s="615"/>
      <c r="M244" s="615"/>
      <c r="N244" s="615"/>
      <c r="O244" s="614"/>
      <c r="P244" s="281"/>
    </row>
    <row r="245" spans="1:16" s="73" customFormat="1">
      <c r="A245" s="149"/>
      <c r="B245" s="292" t="s">
        <v>189</v>
      </c>
      <c r="C245" s="616">
        <f t="shared" ref="C245:N245" si="51">SUM(C242:C243)</f>
        <v>0</v>
      </c>
      <c r="D245" s="616">
        <f t="shared" si="51"/>
        <v>0</v>
      </c>
      <c r="E245" s="616">
        <f t="shared" si="51"/>
        <v>0</v>
      </c>
      <c r="F245" s="694">
        <f t="shared" si="51"/>
        <v>0</v>
      </c>
      <c r="G245" s="616">
        <f t="shared" si="51"/>
        <v>0</v>
      </c>
      <c r="H245" s="616">
        <f t="shared" si="51"/>
        <v>0</v>
      </c>
      <c r="I245" s="616">
        <f t="shared" si="51"/>
        <v>0</v>
      </c>
      <c r="J245" s="616">
        <f t="shared" si="51"/>
        <v>0</v>
      </c>
      <c r="K245" s="616">
        <f t="shared" si="51"/>
        <v>0</v>
      </c>
      <c r="L245" s="616">
        <f t="shared" si="51"/>
        <v>0</v>
      </c>
      <c r="M245" s="616">
        <f t="shared" si="51"/>
        <v>0</v>
      </c>
      <c r="N245" s="616">
        <f t="shared" si="51"/>
        <v>0</v>
      </c>
      <c r="O245" s="616">
        <f>SUM(O242:O243)</f>
        <v>0</v>
      </c>
      <c r="P245" s="281"/>
    </row>
    <row r="246" spans="1:16" s="73" customFormat="1" ht="13">
      <c r="A246" s="150"/>
      <c r="B246" s="289" t="s">
        <v>16</v>
      </c>
      <c r="C246" s="614"/>
      <c r="D246" s="614"/>
      <c r="E246" s="614"/>
      <c r="F246" s="692"/>
      <c r="G246" s="614"/>
      <c r="H246" s="614"/>
      <c r="I246" s="614"/>
      <c r="J246" s="614"/>
      <c r="K246" s="614"/>
      <c r="L246" s="614"/>
      <c r="M246" s="614"/>
      <c r="N246" s="614"/>
      <c r="O246" s="614"/>
      <c r="P246" s="281"/>
    </row>
    <row r="247" spans="1:16" s="73" customFormat="1">
      <c r="A247" s="150"/>
      <c r="B247" s="310"/>
      <c r="C247" s="615"/>
      <c r="D247" s="615"/>
      <c r="E247" s="619"/>
      <c r="F247" s="697"/>
      <c r="G247" s="615"/>
      <c r="H247" s="615"/>
      <c r="I247" s="615"/>
      <c r="J247" s="615"/>
      <c r="K247" s="615"/>
      <c r="L247" s="615"/>
      <c r="M247" s="615"/>
      <c r="N247" s="615"/>
      <c r="O247" s="615">
        <f>+C247-(SUM(D247:N247))</f>
        <v>0</v>
      </c>
      <c r="P247" s="281"/>
    </row>
    <row r="248" spans="1:16" s="73" customFormat="1">
      <c r="A248" s="150"/>
      <c r="B248" s="310"/>
      <c r="C248" s="615"/>
      <c r="D248" s="615"/>
      <c r="E248" s="619"/>
      <c r="F248" s="697"/>
      <c r="G248" s="615"/>
      <c r="H248" s="615"/>
      <c r="I248" s="615"/>
      <c r="J248" s="615"/>
      <c r="K248" s="615"/>
      <c r="L248" s="615"/>
      <c r="M248" s="615"/>
      <c r="N248" s="615"/>
      <c r="O248" s="615">
        <f>+C248-(SUM(D248:N248))</f>
        <v>0</v>
      </c>
      <c r="P248" s="281"/>
    </row>
    <row r="249" spans="1:16" s="73" customFormat="1" hidden="1">
      <c r="A249" s="150"/>
      <c r="B249" s="313"/>
      <c r="C249" s="614"/>
      <c r="D249" s="614"/>
      <c r="E249" s="619"/>
      <c r="F249" s="697"/>
      <c r="G249" s="614"/>
      <c r="H249" s="614"/>
      <c r="I249" s="614"/>
      <c r="J249" s="614"/>
      <c r="K249" s="614"/>
      <c r="L249" s="615"/>
      <c r="M249" s="615"/>
      <c r="N249" s="615"/>
      <c r="O249" s="614"/>
      <c r="P249" s="281"/>
    </row>
    <row r="250" spans="1:16" s="73" customFormat="1">
      <c r="A250" s="149"/>
      <c r="B250" s="292" t="s">
        <v>190</v>
      </c>
      <c r="C250" s="616">
        <f t="shared" ref="C250:N250" si="52">SUM(C247:C248)</f>
        <v>0</v>
      </c>
      <c r="D250" s="616">
        <f t="shared" si="52"/>
        <v>0</v>
      </c>
      <c r="E250" s="616">
        <f t="shared" si="52"/>
        <v>0</v>
      </c>
      <c r="F250" s="694">
        <f t="shared" si="52"/>
        <v>0</v>
      </c>
      <c r="G250" s="616">
        <f t="shared" si="52"/>
        <v>0</v>
      </c>
      <c r="H250" s="616">
        <f t="shared" si="52"/>
        <v>0</v>
      </c>
      <c r="I250" s="616">
        <f t="shared" si="52"/>
        <v>0</v>
      </c>
      <c r="J250" s="616">
        <f t="shared" si="52"/>
        <v>0</v>
      </c>
      <c r="K250" s="616">
        <f t="shared" si="52"/>
        <v>0</v>
      </c>
      <c r="L250" s="616">
        <f t="shared" si="52"/>
        <v>0</v>
      </c>
      <c r="M250" s="616">
        <f t="shared" si="52"/>
        <v>0</v>
      </c>
      <c r="N250" s="616">
        <f t="shared" si="52"/>
        <v>0</v>
      </c>
      <c r="O250" s="616">
        <f>SUM(O247:O248)</f>
        <v>0</v>
      </c>
      <c r="P250" s="281"/>
    </row>
    <row r="251" spans="1:16" s="73" customFormat="1" ht="13">
      <c r="A251" s="150"/>
      <c r="B251" s="289" t="s">
        <v>24</v>
      </c>
      <c r="C251" s="614"/>
      <c r="D251" s="614"/>
      <c r="E251" s="614"/>
      <c r="F251" s="692"/>
      <c r="G251" s="614"/>
      <c r="H251" s="614"/>
      <c r="I251" s="614"/>
      <c r="J251" s="614"/>
      <c r="K251" s="614"/>
      <c r="L251" s="614"/>
      <c r="M251" s="614"/>
      <c r="N251" s="614"/>
      <c r="O251" s="614"/>
      <c r="P251" s="281"/>
    </row>
    <row r="252" spans="1:16" s="73" customFormat="1">
      <c r="A252" s="150"/>
      <c r="B252" s="290"/>
      <c r="C252" s="615"/>
      <c r="D252" s="615"/>
      <c r="E252" s="619"/>
      <c r="F252" s="697"/>
      <c r="G252" s="615"/>
      <c r="H252" s="615"/>
      <c r="I252" s="615"/>
      <c r="J252" s="615"/>
      <c r="K252" s="615"/>
      <c r="L252" s="615"/>
      <c r="M252" s="615"/>
      <c r="N252" s="615"/>
      <c r="O252" s="615">
        <f>+C252-(SUM(D252:N252))</f>
        <v>0</v>
      </c>
      <c r="P252" s="281"/>
    </row>
    <row r="253" spans="1:16" s="73" customFormat="1">
      <c r="A253" s="150"/>
      <c r="B253" s="310"/>
      <c r="C253" s="615"/>
      <c r="D253" s="615"/>
      <c r="E253" s="619"/>
      <c r="F253" s="697"/>
      <c r="G253" s="615"/>
      <c r="H253" s="615"/>
      <c r="I253" s="615"/>
      <c r="J253" s="615"/>
      <c r="K253" s="615"/>
      <c r="L253" s="615"/>
      <c r="M253" s="615"/>
      <c r="N253" s="615"/>
      <c r="O253" s="615">
        <f>+C253-(SUM(D253:N253))</f>
        <v>0</v>
      </c>
      <c r="P253" s="281"/>
    </row>
    <row r="254" spans="1:16" s="73" customFormat="1" hidden="1">
      <c r="A254" s="150"/>
      <c r="B254" s="313"/>
      <c r="C254" s="614"/>
      <c r="D254" s="614"/>
      <c r="E254" s="619"/>
      <c r="F254" s="697"/>
      <c r="G254" s="614"/>
      <c r="H254" s="614"/>
      <c r="I254" s="614"/>
      <c r="J254" s="614"/>
      <c r="K254" s="614"/>
      <c r="L254" s="615"/>
      <c r="M254" s="615"/>
      <c r="N254" s="615"/>
      <c r="O254" s="614"/>
      <c r="P254" s="281"/>
    </row>
    <row r="255" spans="1:16" s="73" customFormat="1">
      <c r="A255" s="149"/>
      <c r="B255" s="292" t="s">
        <v>191</v>
      </c>
      <c r="C255" s="616">
        <f t="shared" ref="C255:N255" si="53">SUM(C252:C253)</f>
        <v>0</v>
      </c>
      <c r="D255" s="616">
        <f t="shared" si="53"/>
        <v>0</v>
      </c>
      <c r="E255" s="616">
        <f t="shared" si="53"/>
        <v>0</v>
      </c>
      <c r="F255" s="694">
        <f t="shared" si="53"/>
        <v>0</v>
      </c>
      <c r="G255" s="616">
        <f t="shared" si="53"/>
        <v>0</v>
      </c>
      <c r="H255" s="616">
        <f t="shared" si="53"/>
        <v>0</v>
      </c>
      <c r="I255" s="616">
        <f t="shared" si="53"/>
        <v>0</v>
      </c>
      <c r="J255" s="616">
        <f t="shared" si="53"/>
        <v>0</v>
      </c>
      <c r="K255" s="616">
        <f t="shared" si="53"/>
        <v>0</v>
      </c>
      <c r="L255" s="616">
        <f t="shared" si="53"/>
        <v>0</v>
      </c>
      <c r="M255" s="616">
        <f t="shared" si="53"/>
        <v>0</v>
      </c>
      <c r="N255" s="616">
        <f t="shared" si="53"/>
        <v>0</v>
      </c>
      <c r="O255" s="616">
        <f>SUM(O252:O253)</f>
        <v>0</v>
      </c>
      <c r="P255" s="281"/>
    </row>
    <row r="256" spans="1:16" s="73" customFormat="1" ht="13">
      <c r="A256" s="150"/>
      <c r="B256" s="289" t="s">
        <v>25</v>
      </c>
      <c r="C256" s="614"/>
      <c r="D256" s="614"/>
      <c r="E256" s="614"/>
      <c r="F256" s="692"/>
      <c r="G256" s="614"/>
      <c r="H256" s="614"/>
      <c r="I256" s="614"/>
      <c r="J256" s="614"/>
      <c r="K256" s="614"/>
      <c r="L256" s="614"/>
      <c r="M256" s="614"/>
      <c r="N256" s="614"/>
      <c r="O256" s="614"/>
      <c r="P256" s="281"/>
    </row>
    <row r="257" spans="1:16" s="73" customFormat="1">
      <c r="A257" s="150"/>
      <c r="B257" s="310"/>
      <c r="C257" s="615"/>
      <c r="D257" s="615"/>
      <c r="E257" s="619"/>
      <c r="F257" s="697"/>
      <c r="G257" s="615"/>
      <c r="H257" s="615"/>
      <c r="I257" s="615"/>
      <c r="J257" s="615"/>
      <c r="K257" s="615"/>
      <c r="L257" s="615"/>
      <c r="M257" s="615"/>
      <c r="N257" s="615"/>
      <c r="O257" s="615">
        <f>+C257-(SUM(D257:N257))</f>
        <v>0</v>
      </c>
      <c r="P257" s="281"/>
    </row>
    <row r="258" spans="1:16" s="73" customFormat="1">
      <c r="A258" s="150"/>
      <c r="B258" s="310"/>
      <c r="C258" s="615"/>
      <c r="D258" s="615"/>
      <c r="E258" s="619"/>
      <c r="F258" s="697"/>
      <c r="G258" s="615"/>
      <c r="H258" s="615"/>
      <c r="I258" s="615"/>
      <c r="J258" s="615"/>
      <c r="K258" s="615"/>
      <c r="L258" s="615"/>
      <c r="M258" s="615"/>
      <c r="N258" s="615"/>
      <c r="O258" s="615">
        <f>+C258-(SUM(D258:N258))</f>
        <v>0</v>
      </c>
      <c r="P258" s="281"/>
    </row>
    <row r="259" spans="1:16" s="73" customFormat="1" hidden="1">
      <c r="A259" s="150"/>
      <c r="B259" s="313"/>
      <c r="C259" s="614"/>
      <c r="D259" s="614"/>
      <c r="E259" s="619"/>
      <c r="F259" s="697"/>
      <c r="G259" s="614"/>
      <c r="H259" s="614"/>
      <c r="I259" s="614"/>
      <c r="J259" s="614"/>
      <c r="K259" s="614"/>
      <c r="L259" s="615"/>
      <c r="M259" s="615"/>
      <c r="N259" s="615"/>
      <c r="O259" s="614"/>
      <c r="P259" s="281"/>
    </row>
    <row r="260" spans="1:16" s="73" customFormat="1">
      <c r="A260" s="149"/>
      <c r="B260" s="292" t="s">
        <v>192</v>
      </c>
      <c r="C260" s="616">
        <f t="shared" ref="C260:N260" si="54">SUM(C257:C258)</f>
        <v>0</v>
      </c>
      <c r="D260" s="616">
        <f t="shared" si="54"/>
        <v>0</v>
      </c>
      <c r="E260" s="616">
        <f t="shared" si="54"/>
        <v>0</v>
      </c>
      <c r="F260" s="694">
        <f t="shared" si="54"/>
        <v>0</v>
      </c>
      <c r="G260" s="616">
        <f t="shared" si="54"/>
        <v>0</v>
      </c>
      <c r="H260" s="616">
        <f t="shared" si="54"/>
        <v>0</v>
      </c>
      <c r="I260" s="616">
        <f t="shared" si="54"/>
        <v>0</v>
      </c>
      <c r="J260" s="616">
        <f t="shared" si="54"/>
        <v>0</v>
      </c>
      <c r="K260" s="616">
        <f t="shared" si="54"/>
        <v>0</v>
      </c>
      <c r="L260" s="616">
        <f t="shared" si="54"/>
        <v>0</v>
      </c>
      <c r="M260" s="616">
        <f t="shared" si="54"/>
        <v>0</v>
      </c>
      <c r="N260" s="616">
        <f t="shared" si="54"/>
        <v>0</v>
      </c>
      <c r="O260" s="616">
        <f>SUM(O257:O258)</f>
        <v>0</v>
      </c>
      <c r="P260" s="281"/>
    </row>
    <row r="261" spans="1:16" s="73" customFormat="1" ht="13">
      <c r="A261" s="150"/>
      <c r="B261" s="289" t="s">
        <v>109</v>
      </c>
      <c r="C261" s="614"/>
      <c r="D261" s="614"/>
      <c r="E261" s="614"/>
      <c r="F261" s="692"/>
      <c r="G261" s="614"/>
      <c r="H261" s="614"/>
      <c r="I261" s="614"/>
      <c r="J261" s="614"/>
      <c r="K261" s="614"/>
      <c r="L261" s="614"/>
      <c r="M261" s="614"/>
      <c r="N261" s="614"/>
      <c r="O261" s="614"/>
      <c r="P261" s="281"/>
    </row>
    <row r="262" spans="1:16" s="73" customFormat="1">
      <c r="A262" s="150"/>
      <c r="B262" s="310"/>
      <c r="C262" s="615"/>
      <c r="D262" s="615"/>
      <c r="E262" s="619"/>
      <c r="F262" s="697"/>
      <c r="G262" s="615"/>
      <c r="H262" s="615"/>
      <c r="I262" s="615"/>
      <c r="J262" s="615"/>
      <c r="K262" s="615"/>
      <c r="L262" s="615"/>
      <c r="M262" s="615"/>
      <c r="N262" s="615"/>
      <c r="O262" s="615">
        <f>+C262-(SUM(D262:N262))</f>
        <v>0</v>
      </c>
      <c r="P262" s="281"/>
    </row>
    <row r="263" spans="1:16" s="73" customFormat="1">
      <c r="A263" s="150"/>
      <c r="B263" s="310"/>
      <c r="C263" s="615"/>
      <c r="D263" s="615"/>
      <c r="E263" s="619"/>
      <c r="F263" s="697"/>
      <c r="G263" s="615"/>
      <c r="H263" s="615"/>
      <c r="I263" s="615"/>
      <c r="J263" s="615"/>
      <c r="K263" s="615"/>
      <c r="L263" s="615"/>
      <c r="M263" s="615"/>
      <c r="N263" s="615"/>
      <c r="O263" s="615">
        <f>+C263-(SUM(D263:N263))</f>
        <v>0</v>
      </c>
      <c r="P263" s="281"/>
    </row>
    <row r="264" spans="1:16" s="73" customFormat="1" hidden="1">
      <c r="A264" s="150"/>
      <c r="B264" s="313"/>
      <c r="C264" s="614"/>
      <c r="D264" s="614"/>
      <c r="E264" s="619"/>
      <c r="F264" s="697"/>
      <c r="G264" s="614"/>
      <c r="H264" s="614"/>
      <c r="I264" s="614"/>
      <c r="J264" s="614"/>
      <c r="K264" s="614"/>
      <c r="L264" s="615"/>
      <c r="M264" s="615"/>
      <c r="N264" s="615"/>
      <c r="O264" s="614"/>
      <c r="P264" s="281"/>
    </row>
    <row r="265" spans="1:16" s="73" customFormat="1">
      <c r="A265" s="149"/>
      <c r="B265" s="292" t="s">
        <v>193</v>
      </c>
      <c r="C265" s="616">
        <f t="shared" ref="C265:N265" si="55">SUM(C262:C263)</f>
        <v>0</v>
      </c>
      <c r="D265" s="616">
        <f t="shared" si="55"/>
        <v>0</v>
      </c>
      <c r="E265" s="616">
        <f t="shared" si="55"/>
        <v>0</v>
      </c>
      <c r="F265" s="694">
        <f t="shared" si="55"/>
        <v>0</v>
      </c>
      <c r="G265" s="616">
        <f t="shared" si="55"/>
        <v>0</v>
      </c>
      <c r="H265" s="616">
        <f t="shared" si="55"/>
        <v>0</v>
      </c>
      <c r="I265" s="616">
        <f t="shared" si="55"/>
        <v>0</v>
      </c>
      <c r="J265" s="616">
        <f t="shared" si="55"/>
        <v>0</v>
      </c>
      <c r="K265" s="616">
        <f t="shared" si="55"/>
        <v>0</v>
      </c>
      <c r="L265" s="616">
        <f t="shared" si="55"/>
        <v>0</v>
      </c>
      <c r="M265" s="616">
        <f t="shared" si="55"/>
        <v>0</v>
      </c>
      <c r="N265" s="616">
        <f t="shared" si="55"/>
        <v>0</v>
      </c>
      <c r="O265" s="616">
        <f>SUM(O262:O263)</f>
        <v>0</v>
      </c>
      <c r="P265" s="281"/>
    </row>
    <row r="266" spans="1:16" s="73" customFormat="1" ht="13">
      <c r="A266" s="150"/>
      <c r="B266" s="289" t="s">
        <v>17</v>
      </c>
      <c r="C266" s="614"/>
      <c r="D266" s="614"/>
      <c r="E266" s="614"/>
      <c r="F266" s="692"/>
      <c r="G266" s="614"/>
      <c r="H266" s="614"/>
      <c r="I266" s="614"/>
      <c r="J266" s="614"/>
      <c r="K266" s="614"/>
      <c r="L266" s="614"/>
      <c r="M266" s="614"/>
      <c r="N266" s="614"/>
      <c r="O266" s="614"/>
      <c r="P266" s="281"/>
    </row>
    <row r="267" spans="1:16" s="73" customFormat="1">
      <c r="A267" s="150"/>
      <c r="B267" s="310"/>
      <c r="C267" s="615"/>
      <c r="D267" s="615"/>
      <c r="E267" s="619"/>
      <c r="F267" s="697"/>
      <c r="G267" s="615"/>
      <c r="H267" s="615"/>
      <c r="I267" s="615"/>
      <c r="J267" s="615"/>
      <c r="K267" s="615"/>
      <c r="L267" s="615"/>
      <c r="M267" s="615"/>
      <c r="N267" s="615"/>
      <c r="O267" s="615">
        <f>+C267-(SUM(D267:N267))</f>
        <v>0</v>
      </c>
      <c r="P267" s="281"/>
    </row>
    <row r="268" spans="1:16" s="73" customFormat="1">
      <c r="A268" s="150"/>
      <c r="B268" s="310"/>
      <c r="C268" s="615"/>
      <c r="D268" s="615"/>
      <c r="E268" s="619"/>
      <c r="F268" s="697"/>
      <c r="G268" s="615"/>
      <c r="H268" s="615"/>
      <c r="I268" s="615"/>
      <c r="J268" s="615"/>
      <c r="K268" s="615"/>
      <c r="L268" s="615"/>
      <c r="M268" s="615"/>
      <c r="N268" s="615"/>
      <c r="O268" s="615">
        <f>+C268-(SUM(D268:N268))</f>
        <v>0</v>
      </c>
      <c r="P268" s="281"/>
    </row>
    <row r="269" spans="1:16" s="73" customFormat="1" hidden="1">
      <c r="A269" s="150"/>
      <c r="B269" s="313"/>
      <c r="C269" s="614"/>
      <c r="D269" s="614"/>
      <c r="E269" s="619"/>
      <c r="F269" s="697"/>
      <c r="G269" s="614"/>
      <c r="H269" s="614"/>
      <c r="I269" s="614"/>
      <c r="J269" s="614"/>
      <c r="K269" s="614"/>
      <c r="L269" s="615"/>
      <c r="M269" s="615"/>
      <c r="N269" s="615"/>
      <c r="O269" s="614"/>
      <c r="P269" s="281"/>
    </row>
    <row r="270" spans="1:16" s="73" customFormat="1">
      <c r="A270" s="149"/>
      <c r="B270" s="292" t="s">
        <v>194</v>
      </c>
      <c r="C270" s="616">
        <f t="shared" ref="C270:N270" si="56">SUM(C267:C268)</f>
        <v>0</v>
      </c>
      <c r="D270" s="616">
        <f t="shared" si="56"/>
        <v>0</v>
      </c>
      <c r="E270" s="616">
        <f t="shared" si="56"/>
        <v>0</v>
      </c>
      <c r="F270" s="694">
        <f t="shared" si="56"/>
        <v>0</v>
      </c>
      <c r="G270" s="616">
        <f t="shared" si="56"/>
        <v>0</v>
      </c>
      <c r="H270" s="616">
        <f t="shared" si="56"/>
        <v>0</v>
      </c>
      <c r="I270" s="616">
        <f t="shared" si="56"/>
        <v>0</v>
      </c>
      <c r="J270" s="616">
        <f t="shared" si="56"/>
        <v>0</v>
      </c>
      <c r="K270" s="616">
        <f t="shared" si="56"/>
        <v>0</v>
      </c>
      <c r="L270" s="616">
        <f t="shared" si="56"/>
        <v>0</v>
      </c>
      <c r="M270" s="616">
        <f t="shared" si="56"/>
        <v>0</v>
      </c>
      <c r="N270" s="616">
        <f t="shared" si="56"/>
        <v>0</v>
      </c>
      <c r="O270" s="616">
        <f>SUM(O267:O268)</f>
        <v>0</v>
      </c>
      <c r="P270" s="281"/>
    </row>
    <row r="271" spans="1:16" s="73" customFormat="1" ht="13">
      <c r="A271" s="150"/>
      <c r="B271" s="314" t="s">
        <v>108</v>
      </c>
      <c r="C271" s="621"/>
      <c r="D271" s="621"/>
      <c r="E271" s="621"/>
      <c r="F271" s="698"/>
      <c r="G271" s="621"/>
      <c r="H271" s="621"/>
      <c r="I271" s="621"/>
      <c r="J271" s="621"/>
      <c r="K271" s="621"/>
      <c r="L271" s="621"/>
      <c r="M271" s="621"/>
      <c r="N271" s="621"/>
      <c r="O271" s="621"/>
      <c r="P271" s="281"/>
    </row>
    <row r="272" spans="1:16" s="73" customFormat="1">
      <c r="A272" s="150"/>
      <c r="B272" s="310"/>
      <c r="C272" s="615"/>
      <c r="D272" s="615"/>
      <c r="E272" s="619"/>
      <c r="F272" s="697"/>
      <c r="G272" s="615"/>
      <c r="H272" s="615"/>
      <c r="I272" s="615"/>
      <c r="J272" s="615"/>
      <c r="K272" s="615"/>
      <c r="L272" s="615"/>
      <c r="M272" s="615"/>
      <c r="N272" s="615"/>
      <c r="O272" s="615">
        <f>+C272-(SUM(D272:N272))</f>
        <v>0</v>
      </c>
      <c r="P272" s="281"/>
    </row>
    <row r="273" spans="1:16" s="73" customFormat="1">
      <c r="A273" s="150"/>
      <c r="B273" s="310"/>
      <c r="C273" s="615"/>
      <c r="D273" s="615"/>
      <c r="E273" s="619"/>
      <c r="F273" s="697"/>
      <c r="G273" s="615"/>
      <c r="H273" s="615"/>
      <c r="I273" s="615"/>
      <c r="J273" s="615"/>
      <c r="K273" s="615"/>
      <c r="L273" s="615"/>
      <c r="M273" s="615"/>
      <c r="N273" s="615"/>
      <c r="O273" s="615">
        <f>+C273-(SUM(D273:N273))</f>
        <v>0</v>
      </c>
      <c r="P273" s="281"/>
    </row>
    <row r="274" spans="1:16" s="73" customFormat="1" hidden="1">
      <c r="A274" s="150"/>
      <c r="B274" s="315"/>
      <c r="C274" s="617"/>
      <c r="D274" s="617"/>
      <c r="E274" s="619"/>
      <c r="F274" s="697"/>
      <c r="G274" s="617"/>
      <c r="H274" s="617"/>
      <c r="I274" s="617"/>
      <c r="J274" s="617"/>
      <c r="K274" s="617"/>
      <c r="L274" s="618"/>
      <c r="M274" s="618"/>
      <c r="N274" s="618"/>
      <c r="O274" s="617"/>
      <c r="P274" s="281"/>
    </row>
    <row r="275" spans="1:16" s="73" customFormat="1">
      <c r="A275" s="149"/>
      <c r="B275" s="292" t="s">
        <v>195</v>
      </c>
      <c r="C275" s="616">
        <f t="shared" ref="C275:N275" si="57">SUM(C272:C273)</f>
        <v>0</v>
      </c>
      <c r="D275" s="616">
        <f t="shared" si="57"/>
        <v>0</v>
      </c>
      <c r="E275" s="616">
        <f t="shared" si="57"/>
        <v>0</v>
      </c>
      <c r="F275" s="694">
        <f t="shared" si="57"/>
        <v>0</v>
      </c>
      <c r="G275" s="616">
        <f t="shared" si="57"/>
        <v>0</v>
      </c>
      <c r="H275" s="616">
        <f t="shared" si="57"/>
        <v>0</v>
      </c>
      <c r="I275" s="616">
        <f t="shared" si="57"/>
        <v>0</v>
      </c>
      <c r="J275" s="616">
        <f t="shared" si="57"/>
        <v>0</v>
      </c>
      <c r="K275" s="616">
        <f t="shared" si="57"/>
        <v>0</v>
      </c>
      <c r="L275" s="616">
        <f t="shared" si="57"/>
        <v>0</v>
      </c>
      <c r="M275" s="616">
        <f t="shared" si="57"/>
        <v>0</v>
      </c>
      <c r="N275" s="616">
        <f t="shared" si="57"/>
        <v>0</v>
      </c>
      <c r="O275" s="616">
        <f>SUM(O272:O273)</f>
        <v>0</v>
      </c>
      <c r="P275" s="281"/>
    </row>
    <row r="276" spans="1:16" s="73" customFormat="1" ht="13">
      <c r="A276" s="150"/>
      <c r="B276" s="305" t="s">
        <v>172</v>
      </c>
      <c r="C276" s="617">
        <f>SUM(C275,C270,C265,C260,C255,C250,C245,C240,C235,C230,C225,C220,C215,C210)</f>
        <v>0</v>
      </c>
      <c r="D276" s="617">
        <f t="shared" ref="D276:N276" si="58">SUM(D275,D270,D265,D260,D255,D250,D245,D240,D235,D230,D225,D220,D215,D210)</f>
        <v>0</v>
      </c>
      <c r="E276" s="617">
        <f t="shared" si="58"/>
        <v>0</v>
      </c>
      <c r="F276" s="695">
        <f t="shared" si="58"/>
        <v>0</v>
      </c>
      <c r="G276" s="617">
        <f t="shared" si="58"/>
        <v>0</v>
      </c>
      <c r="H276" s="617">
        <f t="shared" si="58"/>
        <v>0</v>
      </c>
      <c r="I276" s="617">
        <f>SUM(I275,I270,I265,I260,I255,I250,I245,I240,I235,I230,I225,I220,I215,I210)</f>
        <v>0</v>
      </c>
      <c r="J276" s="617">
        <f t="shared" si="58"/>
        <v>0</v>
      </c>
      <c r="K276" s="617">
        <f t="shared" si="58"/>
        <v>0</v>
      </c>
      <c r="L276" s="617">
        <f t="shared" si="58"/>
        <v>0</v>
      </c>
      <c r="M276" s="617">
        <f t="shared" ref="M276" si="59">SUM(M275,M270,M265,M260,M255,M250,M245,M240,M235,M230,M225,M220,M215,M210)</f>
        <v>0</v>
      </c>
      <c r="N276" s="617">
        <f t="shared" si="58"/>
        <v>0</v>
      </c>
      <c r="O276" s="617">
        <f>(SUM(O275,O270,O265,O260,O255,O250,O245,O240,O235,O230,O225,O220,O215,O210))</f>
        <v>0</v>
      </c>
      <c r="P276" s="281"/>
    </row>
    <row r="277" spans="1:16" s="73" customFormat="1" ht="13">
      <c r="A277" s="151"/>
      <c r="B277" s="726" t="s">
        <v>1</v>
      </c>
      <c r="C277" s="727"/>
      <c r="D277" s="727"/>
      <c r="E277" s="727"/>
      <c r="F277" s="727"/>
      <c r="G277" s="727"/>
      <c r="H277" s="727"/>
      <c r="I277" s="727"/>
      <c r="J277" s="727"/>
      <c r="K277" s="250"/>
      <c r="L277" s="250"/>
      <c r="M277" s="250"/>
      <c r="N277" s="250"/>
      <c r="O277" s="74"/>
      <c r="P277" s="281"/>
    </row>
    <row r="278" spans="1:16" s="73" customFormat="1" ht="13">
      <c r="A278" s="150"/>
      <c r="B278" s="90" t="s">
        <v>28</v>
      </c>
      <c r="C278" s="616">
        <f t="shared" ref="C278:O278" si="60">SUM(C37+C54+C93+C115+C162+C204+C276)</f>
        <v>0</v>
      </c>
      <c r="D278" s="616">
        <f t="shared" si="60"/>
        <v>0</v>
      </c>
      <c r="E278" s="616">
        <f t="shared" si="60"/>
        <v>0</v>
      </c>
      <c r="F278" s="694">
        <f t="shared" si="60"/>
        <v>0</v>
      </c>
      <c r="G278" s="616">
        <f t="shared" si="60"/>
        <v>0</v>
      </c>
      <c r="H278" s="616">
        <f t="shared" si="60"/>
        <v>0</v>
      </c>
      <c r="I278" s="616">
        <f t="shared" si="60"/>
        <v>0</v>
      </c>
      <c r="J278" s="616">
        <f t="shared" si="60"/>
        <v>0</v>
      </c>
      <c r="K278" s="616">
        <f t="shared" si="60"/>
        <v>0</v>
      </c>
      <c r="L278" s="616">
        <f t="shared" si="60"/>
        <v>0</v>
      </c>
      <c r="M278" s="616">
        <f t="shared" si="60"/>
        <v>0</v>
      </c>
      <c r="N278" s="616">
        <f t="shared" si="60"/>
        <v>0</v>
      </c>
      <c r="O278" s="616">
        <f t="shared" si="60"/>
        <v>0</v>
      </c>
      <c r="P278" s="281"/>
    </row>
    <row r="279" spans="1:16" s="73" customFormat="1" ht="13">
      <c r="A279" s="150"/>
      <c r="B279" s="90" t="s">
        <v>402</v>
      </c>
      <c r="C279" s="626">
        <f>SUM(D279:N279)</f>
        <v>0</v>
      </c>
      <c r="D279" s="626">
        <f>IF($C$278=0,0,D278/$C$278)</f>
        <v>0</v>
      </c>
      <c r="E279" s="626">
        <f t="shared" ref="E279:N279" si="61">IF($C$278=0,0,E278/$C$278)</f>
        <v>0</v>
      </c>
      <c r="F279" s="699">
        <f t="shared" si="61"/>
        <v>0</v>
      </c>
      <c r="G279" s="626">
        <f t="shared" si="61"/>
        <v>0</v>
      </c>
      <c r="H279" s="626">
        <f t="shared" si="61"/>
        <v>0</v>
      </c>
      <c r="I279" s="626">
        <f t="shared" si="61"/>
        <v>0</v>
      </c>
      <c r="J279" s="626">
        <f t="shared" si="61"/>
        <v>0</v>
      </c>
      <c r="K279" s="626">
        <f t="shared" si="61"/>
        <v>0</v>
      </c>
      <c r="L279" s="626">
        <f t="shared" si="61"/>
        <v>0</v>
      </c>
      <c r="M279" s="626">
        <f t="shared" si="61"/>
        <v>0</v>
      </c>
      <c r="N279" s="626">
        <f t="shared" si="61"/>
        <v>0</v>
      </c>
      <c r="O279" s="626"/>
      <c r="P279" s="281"/>
    </row>
    <row r="280" spans="1:16" s="73" customFormat="1" ht="13">
      <c r="A280" s="150"/>
      <c r="B280" s="728" t="s">
        <v>380</v>
      </c>
      <c r="C280" s="729"/>
      <c r="D280" s="729"/>
      <c r="E280" s="729"/>
      <c r="F280" s="729"/>
      <c r="G280" s="729"/>
      <c r="H280" s="730"/>
      <c r="I280" s="96"/>
      <c r="J280" s="96"/>
      <c r="K280" s="96"/>
      <c r="L280" s="96"/>
      <c r="M280" s="96"/>
      <c r="N280" s="96"/>
      <c r="O280" s="96"/>
    </row>
    <row r="281" spans="1:16" s="73" customFormat="1" ht="13">
      <c r="A281" s="150"/>
      <c r="B281" s="110" t="s">
        <v>385</v>
      </c>
      <c r="C281" s="110"/>
      <c r="D281" s="110"/>
      <c r="E281" s="624"/>
      <c r="F281" s="700"/>
      <c r="G281" s="110"/>
      <c r="H281" s="110"/>
      <c r="I281" s="96"/>
      <c r="J281" s="96"/>
      <c r="K281" s="96"/>
      <c r="L281" s="96"/>
      <c r="M281" s="96"/>
      <c r="N281" s="96"/>
      <c r="O281" s="96"/>
    </row>
    <row r="282" spans="1:16" s="73" customFormat="1" ht="13">
      <c r="A282" s="150"/>
      <c r="B282" s="552" t="s">
        <v>384</v>
      </c>
      <c r="C282" s="101">
        <f t="shared" ref="C282:C283" si="62">+D282+G282+H282</f>
        <v>0</v>
      </c>
      <c r="D282" s="651"/>
      <c r="E282" s="624"/>
      <c r="F282" s="700"/>
      <c r="G282" s="651"/>
      <c r="H282" s="651"/>
      <c r="I282" s="96"/>
      <c r="J282" s="96"/>
      <c r="K282" s="96"/>
      <c r="L282" s="144"/>
      <c r="M282" s="144"/>
      <c r="N282" s="144"/>
      <c r="O282" s="96"/>
    </row>
    <row r="283" spans="1:16" s="73" customFormat="1" ht="13">
      <c r="A283" s="150"/>
      <c r="B283" s="552" t="s">
        <v>382</v>
      </c>
      <c r="C283" s="101">
        <f t="shared" si="62"/>
        <v>0</v>
      </c>
      <c r="D283" s="651"/>
      <c r="E283" s="624"/>
      <c r="F283" s="700"/>
      <c r="G283" s="651"/>
      <c r="H283" s="651"/>
      <c r="I283" s="96"/>
      <c r="J283" s="96"/>
      <c r="K283" s="96"/>
      <c r="L283" s="144"/>
      <c r="M283" s="144"/>
      <c r="N283" s="144"/>
      <c r="O283" s="96"/>
    </row>
    <row r="284" spans="1:16" s="73" customFormat="1" ht="13">
      <c r="A284" s="150"/>
      <c r="B284" s="552" t="s">
        <v>383</v>
      </c>
      <c r="C284" s="101">
        <f>+D284+G284+H284</f>
        <v>0</v>
      </c>
      <c r="D284" s="651"/>
      <c r="E284" s="624"/>
      <c r="F284" s="700"/>
      <c r="G284" s="651"/>
      <c r="H284" s="651"/>
      <c r="I284" s="96"/>
      <c r="J284" s="96"/>
      <c r="K284" s="96"/>
      <c r="L284" s="144"/>
      <c r="M284" s="144"/>
      <c r="N284" s="144"/>
      <c r="O284" s="96"/>
    </row>
    <row r="285" spans="1:16" s="73" customFormat="1" ht="13">
      <c r="A285" s="150"/>
      <c r="B285" s="554" t="s">
        <v>386</v>
      </c>
      <c r="C285" s="101">
        <f>+D285+G285+H285</f>
        <v>0</v>
      </c>
      <c r="D285" s="580"/>
      <c r="E285" s="624"/>
      <c r="F285" s="700"/>
      <c r="G285" s="580"/>
      <c r="H285" s="580"/>
      <c r="I285" s="96"/>
      <c r="J285" s="96"/>
      <c r="K285" s="96"/>
      <c r="L285" s="144"/>
      <c r="M285" s="144"/>
      <c r="N285" s="144"/>
      <c r="O285" s="96"/>
    </row>
    <row r="286" spans="1:16" s="73" customFormat="1" ht="13">
      <c r="A286" s="150"/>
      <c r="B286" s="553" t="s">
        <v>387</v>
      </c>
      <c r="C286" s="101">
        <f>SUM(C282:C285)</f>
        <v>0</v>
      </c>
      <c r="D286" s="101">
        <f>SUM(D282:D285)</f>
        <v>0</v>
      </c>
      <c r="E286" s="624"/>
      <c r="F286" s="700"/>
      <c r="G286" s="101">
        <f>SUM(G282:G285)</f>
        <v>0</v>
      </c>
      <c r="H286" s="101">
        <f>SUM(H282:H284)</f>
        <v>0</v>
      </c>
      <c r="I286" s="96"/>
      <c r="J286" s="96"/>
      <c r="K286" s="96"/>
      <c r="L286" s="144"/>
      <c r="M286" s="144"/>
      <c r="N286" s="144"/>
      <c r="O286" s="96"/>
    </row>
    <row r="287" spans="1:16" s="73" customFormat="1" ht="13">
      <c r="A287" s="150"/>
      <c r="B287" s="110" t="s">
        <v>243</v>
      </c>
      <c r="C287" s="101"/>
      <c r="D287" s="101"/>
      <c r="E287" s="624"/>
      <c r="F287" s="700"/>
      <c r="G287" s="101"/>
      <c r="H287" s="101"/>
      <c r="I287" s="96"/>
      <c r="J287" s="96"/>
      <c r="K287" s="96"/>
      <c r="L287" s="144"/>
      <c r="M287" s="144"/>
      <c r="N287" s="144"/>
      <c r="O287" s="96"/>
    </row>
    <row r="288" spans="1:16" s="73" customFormat="1" ht="13">
      <c r="A288" s="150"/>
      <c r="B288" s="308" t="s">
        <v>242</v>
      </c>
      <c r="C288" s="101">
        <f>+D288+G288+H288</f>
        <v>0</v>
      </c>
      <c r="D288" s="651"/>
      <c r="E288" s="624"/>
      <c r="F288" s="700"/>
      <c r="G288" s="651"/>
      <c r="H288" s="651"/>
      <c r="I288" s="96"/>
      <c r="J288" s="96"/>
      <c r="K288" s="96"/>
      <c r="L288" s="144"/>
      <c r="M288" s="144"/>
      <c r="N288" s="144"/>
      <c r="O288" s="96"/>
    </row>
    <row r="289" spans="1:15" s="73" customFormat="1" ht="13">
      <c r="A289" s="150"/>
      <c r="B289" s="552" t="s">
        <v>382</v>
      </c>
      <c r="C289" s="101">
        <f>+D289+G289+H289</f>
        <v>0</v>
      </c>
      <c r="D289" s="651"/>
      <c r="E289" s="624"/>
      <c r="F289" s="700"/>
      <c r="G289" s="651"/>
      <c r="H289" s="651"/>
      <c r="I289" s="96"/>
      <c r="J289" s="96"/>
      <c r="K289" s="96"/>
      <c r="L289" s="144"/>
      <c r="M289" s="144"/>
      <c r="N289" s="144"/>
      <c r="O289" s="96"/>
    </row>
    <row r="290" spans="1:15" s="73" customFormat="1" ht="13">
      <c r="A290" s="150"/>
      <c r="B290" s="552" t="s">
        <v>383</v>
      </c>
      <c r="C290" s="101">
        <f>+D290+G290+H290</f>
        <v>0</v>
      </c>
      <c r="D290" s="651"/>
      <c r="E290" s="624"/>
      <c r="F290" s="700"/>
      <c r="G290" s="651"/>
      <c r="H290" s="651"/>
      <c r="I290" s="96"/>
      <c r="J290" s="96"/>
      <c r="K290" s="96"/>
      <c r="L290" s="144"/>
      <c r="M290" s="144"/>
      <c r="N290" s="144"/>
      <c r="O290" s="96"/>
    </row>
    <row r="291" spans="1:15" s="73" customFormat="1" ht="13">
      <c r="A291" s="150"/>
      <c r="B291" s="552" t="s">
        <v>386</v>
      </c>
      <c r="C291" s="101">
        <f>+D291+G291+H291</f>
        <v>0</v>
      </c>
      <c r="D291" s="651"/>
      <c r="E291" s="624"/>
      <c r="F291" s="700"/>
      <c r="G291" s="651"/>
      <c r="H291" s="651"/>
      <c r="I291" s="96"/>
      <c r="J291" s="96"/>
      <c r="K291" s="96"/>
      <c r="L291" s="144"/>
      <c r="M291" s="144"/>
      <c r="N291" s="144"/>
      <c r="O291" s="96"/>
    </row>
    <row r="292" spans="1:15" s="73" customFormat="1" ht="13">
      <c r="A292" s="150"/>
      <c r="B292" s="553" t="s">
        <v>244</v>
      </c>
      <c r="C292" s="101">
        <f>SUM(C288:C291)</f>
        <v>0</v>
      </c>
      <c r="D292" s="101">
        <f>SUM(D288:D291)</f>
        <v>0</v>
      </c>
      <c r="E292" s="624"/>
      <c r="F292" s="700"/>
      <c r="G292" s="101">
        <f>SUM(G288:G291)</f>
        <v>0</v>
      </c>
      <c r="H292" s="101">
        <f>SUM(H288:H291)</f>
        <v>0</v>
      </c>
      <c r="I292" s="96"/>
      <c r="J292" s="96"/>
      <c r="K292" s="96"/>
      <c r="L292" s="144"/>
      <c r="M292" s="144"/>
      <c r="N292" s="144"/>
      <c r="O292" s="96"/>
    </row>
    <row r="293" spans="1:15" s="73" customFormat="1" ht="13">
      <c r="A293" s="150"/>
      <c r="B293" s="308"/>
      <c r="C293" s="101"/>
      <c r="D293" s="101"/>
      <c r="E293" s="624"/>
      <c r="F293" s="700"/>
      <c r="G293" s="101"/>
      <c r="H293" s="101"/>
      <c r="I293" s="96"/>
      <c r="J293" s="96"/>
      <c r="K293" s="96"/>
      <c r="L293" s="96"/>
      <c r="M293" s="96"/>
      <c r="N293" s="96"/>
      <c r="O293" s="96"/>
    </row>
    <row r="294" spans="1:15" s="73" customFormat="1" ht="13">
      <c r="A294" s="152"/>
      <c r="B294" s="90" t="s">
        <v>199</v>
      </c>
      <c r="C294" s="101">
        <f>+Total_MealsPreparedByProvider+Total_TotalPurchasedMeals</f>
        <v>0</v>
      </c>
      <c r="D294" s="101">
        <f>+HD_MealsPreparedByProvider+HD_TotalPurchasedMeals</f>
        <v>0</v>
      </c>
      <c r="E294" s="624"/>
      <c r="F294" s="700"/>
      <c r="G294" s="101">
        <f>+C_MealsPreparedByProvider+C_TotalPurchasedMeals</f>
        <v>0</v>
      </c>
      <c r="H294" s="101">
        <f>+H286+H292</f>
        <v>0</v>
      </c>
      <c r="I294" s="265"/>
      <c r="J294" s="265"/>
      <c r="K294" s="265"/>
      <c r="L294" s="266"/>
      <c r="M294" s="266"/>
      <c r="N294" s="266"/>
      <c r="O294" s="265"/>
    </row>
    <row r="295" spans="1:15" s="73" customFormat="1" ht="13">
      <c r="A295" s="153"/>
      <c r="B295" s="90" t="s">
        <v>200</v>
      </c>
      <c r="C295" s="267"/>
      <c r="D295" s="268">
        <f>IF(C294=0,0,+D294/C294)</f>
        <v>0</v>
      </c>
      <c r="E295" s="624"/>
      <c r="F295" s="700"/>
      <c r="G295" s="268">
        <f>IF(C294=0,0,+G294/C294)</f>
        <v>0</v>
      </c>
      <c r="H295" s="268">
        <f>IF(C294=0,0,+H294/C294)</f>
        <v>0</v>
      </c>
      <c r="I295" s="265"/>
      <c r="J295" s="265"/>
      <c r="K295" s="265"/>
      <c r="L295" s="265"/>
      <c r="M295" s="265"/>
      <c r="N295" s="265"/>
      <c r="O295" s="265"/>
    </row>
    <row r="296" spans="1:15" s="73" customFormat="1" ht="13">
      <c r="A296" s="153"/>
      <c r="B296" s="90" t="s">
        <v>381</v>
      </c>
      <c r="C296" s="267"/>
      <c r="D296" s="625">
        <f>IF(AND(HD_Total_All_Cost_Areas=0,HD_TotalBudgetedMeals=0),0,(IF(E300="N",(HD_Total_All_Cost_Areas+NE_RLS__Total_All_Cost_Areas)/HD_TotalBudgetedMeals,(+HD_Total_All_Cost_Areas+(NE_AAA_Total_All_Cost_Areas*D303)+NE_RLS__Total_All_Cost_Areas)/HD_TotalBudgetedMeals)))</f>
        <v>0</v>
      </c>
      <c r="E296" s="624"/>
      <c r="F296" s="700"/>
      <c r="G296" s="625">
        <f>IF(AND(C_Total_All_Cost_Areas=0,C_TotalBudgetedMeals=0),0,(IF(E300="N",C_Total_All_Cost_Areas/C_TotalBudgetedMeals,(C_Total_All_Cost_Areas+(NE_AAA_Total_All_Cost_Areas*D304))/C_TotalBudgetedMeals)))</f>
        <v>0</v>
      </c>
      <c r="H296" s="545" t="str">
        <f>IF(AND(H278&gt;0,H294&gt;0),H278/H294,"")</f>
        <v/>
      </c>
      <c r="I296" s="265"/>
      <c r="J296" s="265"/>
      <c r="K296" s="265"/>
      <c r="L296" s="265"/>
      <c r="M296" s="265"/>
      <c r="N296" s="265"/>
      <c r="O296" s="265"/>
    </row>
    <row r="297" spans="1:15" s="164" customFormat="1" ht="7.5" customHeight="1">
      <c r="A297" s="154"/>
      <c r="B297" s="543"/>
      <c r="C297" s="544"/>
      <c r="D297" s="544"/>
      <c r="E297" s="544"/>
      <c r="F297" s="688"/>
      <c r="G297" s="269"/>
      <c r="H297" s="269"/>
      <c r="I297" s="269"/>
      <c r="J297" s="269"/>
      <c r="K297" s="269"/>
      <c r="L297" s="269"/>
      <c r="M297" s="269"/>
      <c r="N297" s="269"/>
      <c r="O297" s="269"/>
    </row>
    <row r="298" spans="1:15" s="164" customFormat="1" ht="25.5" customHeight="1">
      <c r="A298" s="154"/>
      <c r="B298" s="717" t="s">
        <v>438</v>
      </c>
      <c r="C298" s="718"/>
      <c r="D298" s="718"/>
      <c r="E298" s="718"/>
      <c r="F298" s="689"/>
      <c r="G298" s="269"/>
      <c r="H298" s="269"/>
      <c r="I298" s="269"/>
      <c r="J298" s="269"/>
      <c r="K298" s="269"/>
      <c r="L298" s="270"/>
      <c r="M298" s="270"/>
      <c r="N298" s="270"/>
      <c r="O298" s="269"/>
    </row>
    <row r="299" spans="1:15" s="164" customFormat="1" ht="13">
      <c r="A299" s="154"/>
      <c r="B299" s="722" t="s">
        <v>426</v>
      </c>
      <c r="C299" s="723"/>
      <c r="D299" s="723"/>
      <c r="E299" s="649"/>
      <c r="F299" s="689"/>
      <c r="G299" s="269"/>
      <c r="H299" s="269"/>
      <c r="I299" s="269"/>
      <c r="J299" s="269"/>
      <c r="K299" s="269"/>
      <c r="L299" s="270"/>
      <c r="M299" s="270"/>
      <c r="N299" s="270"/>
      <c r="O299" s="269"/>
    </row>
    <row r="300" spans="1:15" s="164" customFormat="1" ht="13">
      <c r="A300" s="286"/>
      <c r="B300" s="719" t="s">
        <v>425</v>
      </c>
      <c r="C300" s="720"/>
      <c r="D300" s="721"/>
      <c r="E300" s="316"/>
      <c r="F300" s="690"/>
      <c r="G300" s="271"/>
      <c r="H300" s="271"/>
      <c r="I300" s="271"/>
      <c r="J300" s="271"/>
      <c r="K300" s="271"/>
      <c r="L300" s="272"/>
      <c r="M300" s="272"/>
      <c r="N300" s="272"/>
      <c r="O300" s="271"/>
    </row>
    <row r="301" spans="1:15" s="164" customFormat="1" ht="13">
      <c r="A301" s="284"/>
      <c r="B301" s="285"/>
      <c r="C301" s="623"/>
      <c r="D301" s="623"/>
      <c r="E301" s="653"/>
      <c r="F301" s="623"/>
      <c r="G301" s="622"/>
      <c r="H301" s="622"/>
      <c r="I301" s="271"/>
      <c r="J301" s="271"/>
      <c r="K301" s="271"/>
      <c r="L301" s="272"/>
      <c r="M301" s="272"/>
      <c r="N301" s="272"/>
      <c r="O301" s="271"/>
    </row>
    <row r="302" spans="1:15">
      <c r="B302" s="274"/>
      <c r="C302" s="654"/>
      <c r="D302" s="655">
        <f>+HD_TotalBudgetedMeals+C_TotalBudgetedMeals</f>
        <v>0</v>
      </c>
      <c r="E302" s="622"/>
      <c r="F302" s="622"/>
      <c r="G302" s="622"/>
      <c r="H302" s="622"/>
    </row>
    <row r="303" spans="1:15">
      <c r="C303" s="656" t="s">
        <v>308</v>
      </c>
      <c r="D303" s="657" t="e">
        <f>+D294/D302</f>
        <v>#DIV/0!</v>
      </c>
      <c r="E303" s="622"/>
      <c r="F303" s="622"/>
      <c r="G303" s="622"/>
      <c r="H303" s="622"/>
    </row>
    <row r="304" spans="1:15">
      <c r="C304" s="656" t="s">
        <v>309</v>
      </c>
      <c r="D304" s="657" t="e">
        <f>+C_TotalBudgetedMeals/D302</f>
        <v>#DIV/0!</v>
      </c>
      <c r="E304" s="622"/>
      <c r="F304" s="622"/>
      <c r="G304" s="622"/>
      <c r="H304" s="622"/>
    </row>
    <row r="305" spans="3:8">
      <c r="C305" s="622"/>
      <c r="D305" s="622"/>
      <c r="E305" s="622"/>
      <c r="F305" s="622"/>
      <c r="G305" s="622"/>
      <c r="H305" s="622"/>
    </row>
    <row r="306" spans="3:8">
      <c r="C306" s="622"/>
      <c r="D306" s="622"/>
      <c r="E306" s="622"/>
      <c r="F306" s="622"/>
      <c r="G306" s="622"/>
      <c r="H306" s="622"/>
    </row>
    <row r="307" spans="3:8">
      <c r="C307" s="622"/>
      <c r="D307" s="622"/>
      <c r="E307" s="622"/>
      <c r="F307" s="622"/>
      <c r="G307" s="622"/>
      <c r="H307" s="622"/>
    </row>
    <row r="308" spans="3:8">
      <c r="C308" s="622"/>
      <c r="D308" s="622"/>
      <c r="E308" s="622"/>
      <c r="F308" s="622"/>
      <c r="G308" s="622"/>
      <c r="H308" s="622"/>
    </row>
    <row r="309" spans="3:8">
      <c r="C309" s="622"/>
      <c r="D309" s="622"/>
      <c r="E309" s="622"/>
      <c r="F309" s="622"/>
      <c r="G309" s="622"/>
      <c r="H309" s="622"/>
    </row>
    <row r="310" spans="3:8">
      <c r="C310" s="622"/>
      <c r="D310" s="622"/>
      <c r="E310" s="622"/>
      <c r="F310" s="622"/>
      <c r="G310" s="622"/>
      <c r="H310" s="622"/>
    </row>
    <row r="311" spans="3:8">
      <c r="C311" s="622"/>
      <c r="D311" s="622"/>
      <c r="E311" s="622"/>
      <c r="F311" s="622"/>
      <c r="G311" s="622"/>
      <c r="H311" s="622"/>
    </row>
    <row r="312" spans="3:8">
      <c r="C312" s="622"/>
      <c r="D312" s="622"/>
      <c r="E312" s="622"/>
      <c r="F312" s="622"/>
      <c r="G312" s="622"/>
      <c r="H312" s="622"/>
    </row>
    <row r="313" spans="3:8">
      <c r="C313" s="622"/>
      <c r="D313" s="622"/>
      <c r="E313" s="622"/>
      <c r="F313" s="622"/>
      <c r="G313" s="622"/>
      <c r="H313" s="622"/>
    </row>
    <row r="314" spans="3:8">
      <c r="C314" s="622"/>
      <c r="D314" s="622"/>
      <c r="E314" s="622"/>
      <c r="F314" s="622"/>
      <c r="G314" s="622"/>
      <c r="H314" s="622"/>
    </row>
    <row r="315" spans="3:8">
      <c r="C315" s="622"/>
      <c r="D315" s="622"/>
      <c r="E315" s="622"/>
      <c r="F315" s="622"/>
      <c r="G315" s="622"/>
      <c r="H315" s="622"/>
    </row>
    <row r="495" spans="3:3" ht="13">
      <c r="C495" s="256" t="s">
        <v>298</v>
      </c>
    </row>
    <row r="496" spans="3:3" ht="13">
      <c r="C496" s="256" t="s">
        <v>299</v>
      </c>
    </row>
    <row r="497" spans="3:3" ht="13">
      <c r="C497" s="256" t="s">
        <v>72</v>
      </c>
    </row>
  </sheetData>
  <sheetProtection formatCells="0" formatColumns="0" formatRows="0" insertColumns="0" insertRows="0"/>
  <customSheetViews>
    <customSheetView guid="{DDFE7685-90A4-42DC-AFD9-89B5EC30420E}" scale="60" showPageBreaks="1" printArea="1" hiddenRows="1" topLeftCell="A56">
      <selection activeCell="B270" sqref="B270"/>
      <rowBreaks count="5" manualBreakCount="5">
        <brk id="51" min="1" max="13" man="1"/>
        <brk id="90" max="14" man="1"/>
        <brk id="159" max="14" man="1"/>
        <brk id="201" max="14" man="1"/>
        <brk id="273" max="14" man="1"/>
      </rowBreaks>
      <pageMargins left="0.5" right="0.5" top="0.5" bottom="0.5" header="0.5" footer="0.5"/>
      <pageSetup paperSize="5" scale="65" fitToHeight="18" orientation="landscape" r:id="rId1"/>
      <headerFooter alignWithMargins="0"/>
    </customSheetView>
  </customSheetViews>
  <mergeCells count="17">
    <mergeCell ref="B1:G1"/>
    <mergeCell ref="B38:J38"/>
    <mergeCell ref="B55:J55"/>
    <mergeCell ref="B94:J94"/>
    <mergeCell ref="B116:J116"/>
    <mergeCell ref="C2:G2"/>
    <mergeCell ref="B6:J6"/>
    <mergeCell ref="H3:I3"/>
    <mergeCell ref="H2:I2"/>
    <mergeCell ref="J3:K3"/>
    <mergeCell ref="B298:E298"/>
    <mergeCell ref="B300:D300"/>
    <mergeCell ref="B299:D299"/>
    <mergeCell ref="B163:J163"/>
    <mergeCell ref="B205:J205"/>
    <mergeCell ref="B277:J277"/>
    <mergeCell ref="B280:H280"/>
  </mergeCells>
  <phoneticPr fontId="0" type="noConversion"/>
  <dataValidations count="6">
    <dataValidation type="decimal" allowBlank="1" showInputMessage="1" showErrorMessage="1" error="The information entered must be a positive number." sqref="E257:F259 C285 I280:O293 C278:O278 G282:H284 C286:D292 E267:F269 E272:F274 E262:F264 E247:F249 E252:F254 E80:F86 E57:F60 E63:F67 E49:K49 D39 E96:F98 E75:F77 E70:F72 E89:F91 E242:F244 E237:F239 E232:F234 E227:F229 E222:F224 E217:F219 E212:F214 E207:F209 E200:F202 E195:F197 E190:F192 E185:F187 E180:F182 E175:F177 E170:F172 E165:F167 E158:F160 E153:F155 E148:F150 E143:F145 E138:F140 E133:F135 E128:F130 E123:F125 E118:F120 E111:F113 E106:F108 E101:F103 C282:D284 G286:H292 O39:O54 D51:K52 L49:N52 D53:N54 D46:D49 C39:C54 D41:D44 E39:N48" xr:uid="{00000000-0002-0000-0100-000000000000}">
      <formula1>0</formula1>
      <formula2>9999999999999</formula2>
    </dataValidation>
    <dataValidation type="decimal" allowBlank="1" showInputMessage="1" showErrorMessage="1" error="The information entered must be a positive number." sqref="D93:N93 G62:K64 D56:F56 E62:F62 E88:K88 G79:K80 O56:O93 G56:N60 C56:C93 L62:N67 G66:K67 E69:K69 L69:N72 G71:K72 E74:K74 G76:K77 L74:N77 E79:F79 G82:K86 L79:N86 E87:N87 L88:N91 G90:K91 D90:D92 E92:N92 D82:D88 E78:N78 D76:D79 E73:N73 D71:D74 E68:N68 D67:D69 D58:D62 E61:N61" xr:uid="{00000000-0002-0000-0100-000001000000}">
      <formula1>0</formula1>
      <formula2>99999999999</formula2>
    </dataValidation>
    <dataValidation type="textLength" allowBlank="1" showInputMessage="1" showErrorMessage="1" errorTitle="Nutrition Eduction" error="Enter an N if Nutrition Eductation Cost is not included in the meal cost." sqref="E300" xr:uid="{00000000-0002-0000-0100-000002000000}">
      <formula1>0</formula1>
      <formula2>1</formula2>
    </dataValidation>
    <dataValidation type="decimal" allowBlank="1" showInputMessage="1" showErrorMessage="1" error="The information entered must be a positive number." sqref="E169:F169 E211:F211 E100:F100 E122:F122 E261:F261 E271:F271 D270:D271 E255:N255 E250:N250 E245:N245 E240:N240 E235:N235 E230:N230 E225:N225 E206:F206 C198:N198 C193:N193 C188:N188 C183:N183 C178:N178 E164:F164 E117:F117 C173:N173 E220:N220 E215:N215 C203:N204 E127:F127 D117:D118 E114:N115 E104:N104 D95:F95 C161:N162 D112:D115 E110:F110 O95:O115 G95:N98 E109:N109 G100:N103 D102:D105 E105:F105 G105:N108 D107:D110 D97:D100 E99:N99 C95:C115 G110:N113 D120:D122 O117:O162 G117:N120 E121:N121 G122:N125 E126:N126 D124:D127 E131:N131 G127:N130 D129:D132 E132:F132 E136:N136 G132:N135 E137:F137 E141:N141 G137:N140 E142:F142 E146:N146 G142:N145 E147:F147 E151:N151 G147:N150 E152:F152 E156:N156 G152:N155 E157:F157 D134:D160 C117:C160 G157:N160 C164:D167 O164:O204 G164:N167 C168:N168 G169:N172 C169:D172 E174:F174 G174:N177 C174:D177 E179:F179 G179:N182 C179:D182 E184:F184 G184:N187 C184:D187 E189:F189 G189:N192 C189:D192 E194:F194 G194:N197 C194:D197 E199:F199 G199:N202 C199:D202 O206:O276 G206:N209 E210:N210 G211:N214 E216:F216 G216:N219 E221:F221 G221:N224 E226:F226 G226:N229 E231:F231 G231:N234 E236:F236 G236:N239 E241:F241 G241:N244 E246:F246 G246:N249 E251:F251 G251:N254 E256:F256 G256:N259 E265:N265 E260:N260 G261:N264 E266:F266 C206:D269 G266:N269 E270:N270 G271:N274 D273:D274 C270:C274 C275:N276" xr:uid="{00000000-0002-0000-0100-000003000000}">
      <formula1>0</formula1>
      <formula2>999999999999</formula2>
    </dataValidation>
    <dataValidation type="decimal" allowBlank="1" showInputMessage="1" showErrorMessage="1" error="The information entered must be a positive number" sqref="D272 D40 D45 D63:D66 D75 D89 D96 G81:K81 D70 D133 D128 D123 D119 D111 D106 D101 D50:K50 G89:K89 D80:D81 G70:K70 G75:K75 G65:K65 D57 C7:O37" xr:uid="{00000000-0002-0000-0100-000004000000}">
      <formula1>0</formula1>
      <formula2>9999999999999</formula2>
    </dataValidation>
    <dataValidation allowBlank="1" showInputMessage="1" showErrorMessage="1" error="_x000a_" sqref="C279:O279" xr:uid="{00000000-0002-0000-0100-000005000000}"/>
  </dataValidations>
  <pageMargins left="0.5" right="0.5" top="0.5" bottom="0.5" header="0.5" footer="0.5"/>
  <pageSetup paperSize="5" scale="65" fitToHeight="18" orientation="landscape" r:id="rId2"/>
  <headerFooter alignWithMargins="0"/>
  <rowBreaks count="5" manualBreakCount="5">
    <brk id="54" min="1" max="13" man="1"/>
    <brk id="93" max="14" man="1"/>
    <brk id="162" max="14" man="1"/>
    <brk id="204" max="14" man="1"/>
    <brk id="276" max="14"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tabColor rgb="FF0070C0"/>
    <pageSetUpPr fitToPage="1"/>
  </sheetPr>
  <dimension ref="A1:N50"/>
  <sheetViews>
    <sheetView showGridLines="0" zoomScaleNormal="100" workbookViewId="0">
      <selection activeCell="F10" sqref="F10"/>
    </sheetView>
  </sheetViews>
  <sheetFormatPr defaultColWidth="9.1796875" defaultRowHeight="14"/>
  <cols>
    <col min="1" max="1" width="6.1796875" style="15" customWidth="1"/>
    <col min="2" max="2" width="11.453125" style="15" customWidth="1"/>
    <col min="3" max="3" width="11" style="15" customWidth="1"/>
    <col min="4" max="4" width="14.1796875" style="15" customWidth="1"/>
    <col min="5" max="5" width="23.7265625" style="15" customWidth="1"/>
    <col min="6" max="6" width="21.26953125" style="15" customWidth="1"/>
    <col min="7" max="7" width="23.453125" style="15" customWidth="1"/>
    <col min="8" max="8" width="3.1796875" style="15" customWidth="1"/>
    <col min="9" max="16384" width="9.1796875" style="15"/>
  </cols>
  <sheetData>
    <row r="1" spans="1:8">
      <c r="C1" s="977">
        <f ca="1">NOW()</f>
        <v>45380.323058564813</v>
      </c>
      <c r="D1" s="977"/>
    </row>
    <row r="2" spans="1:8">
      <c r="C2" s="572" t="s">
        <v>388</v>
      </c>
      <c r="D2" s="779">
        <f>+'Provider Information'!D21</f>
        <v>0</v>
      </c>
      <c r="E2" s="779"/>
      <c r="F2" s="779"/>
      <c r="G2" s="779"/>
    </row>
    <row r="3" spans="1:8" ht="17.5">
      <c r="B3" s="1058" t="str">
        <f>+'Provider Total Budget by Serv'!K4</f>
        <v>Transportation</v>
      </c>
      <c r="C3" s="1056"/>
      <c r="D3" s="1056"/>
      <c r="E3" s="1056"/>
      <c r="F3" s="1056"/>
      <c r="G3" s="1056"/>
    </row>
    <row r="4" spans="1:8">
      <c r="A4" s="203"/>
      <c r="B4" s="1059" t="s">
        <v>40</v>
      </c>
      <c r="C4" s="1059"/>
      <c r="D4" s="1059"/>
      <c r="E4" s="1059"/>
      <c r="F4" s="1059"/>
      <c r="G4" s="1059"/>
      <c r="H4" s="203"/>
    </row>
    <row r="5" spans="1:8">
      <c r="B5" s="15" t="s">
        <v>41</v>
      </c>
      <c r="C5" s="1060" t="str">
        <f>IF(ISBLANK('Provider Information'!F6),"",+'Provider Information'!F6)</f>
        <v/>
      </c>
      <c r="D5" s="1034"/>
      <c r="E5" s="1034"/>
    </row>
    <row r="7" spans="1:8">
      <c r="B7" s="909" t="s">
        <v>42</v>
      </c>
      <c r="C7" s="909"/>
      <c r="D7" s="892">
        <f>+G25</f>
        <v>0</v>
      </c>
      <c r="E7" s="893"/>
      <c r="F7" s="31"/>
      <c r="G7" s="176"/>
    </row>
    <row r="9" spans="1:8">
      <c r="B9" s="899" t="s">
        <v>445</v>
      </c>
      <c r="C9" s="899"/>
      <c r="D9" s="899"/>
      <c r="E9" s="899"/>
      <c r="F9" s="899"/>
      <c r="G9" s="899"/>
    </row>
    <row r="10" spans="1:8" ht="14.5" thickBot="1"/>
    <row r="11" spans="1:8" ht="14.5" thickTop="1">
      <c r="B11" s="17"/>
      <c r="C11" s="18"/>
      <c r="D11" s="18"/>
      <c r="E11" s="19"/>
      <c r="F11" s="20"/>
      <c r="G11" s="21"/>
    </row>
    <row r="12" spans="1:8">
      <c r="B12" s="900" t="s">
        <v>43</v>
      </c>
      <c r="C12" s="901"/>
      <c r="D12" s="901"/>
      <c r="E12" s="902"/>
      <c r="F12" s="22" t="s">
        <v>44</v>
      </c>
      <c r="G12" s="23" t="s">
        <v>75</v>
      </c>
    </row>
    <row r="13" spans="1:8">
      <c r="B13" s="903"/>
      <c r="C13" s="904"/>
      <c r="D13" s="904"/>
      <c r="E13" s="905"/>
      <c r="F13" s="37"/>
      <c r="G13" s="35"/>
    </row>
    <row r="14" spans="1:8">
      <c r="B14" s="894"/>
      <c r="C14" s="897"/>
      <c r="D14" s="897"/>
      <c r="E14" s="898"/>
      <c r="F14" s="34"/>
      <c r="G14" s="35"/>
    </row>
    <row r="15" spans="1:8">
      <c r="B15" s="894"/>
      <c r="C15" s="897"/>
      <c r="D15" s="897"/>
      <c r="E15" s="898"/>
      <c r="F15" s="34"/>
      <c r="G15" s="35"/>
    </row>
    <row r="16" spans="1:8">
      <c r="B16" s="894"/>
      <c r="C16" s="897"/>
      <c r="D16" s="897"/>
      <c r="E16" s="898"/>
      <c r="F16" s="34"/>
      <c r="G16" s="35"/>
    </row>
    <row r="17" spans="2:10">
      <c r="B17" s="894"/>
      <c r="C17" s="897"/>
      <c r="D17" s="897"/>
      <c r="E17" s="898"/>
      <c r="F17" s="34"/>
      <c r="G17" s="35"/>
    </row>
    <row r="18" spans="2:10">
      <c r="B18" s="894"/>
      <c r="C18" s="897"/>
      <c r="D18" s="897"/>
      <c r="E18" s="898"/>
      <c r="F18" s="34"/>
      <c r="G18" s="35"/>
    </row>
    <row r="19" spans="2:10">
      <c r="B19" s="894"/>
      <c r="C19" s="897"/>
      <c r="D19" s="897"/>
      <c r="E19" s="898"/>
      <c r="F19" s="34"/>
      <c r="G19" s="35"/>
    </row>
    <row r="20" spans="2:10">
      <c r="B20" s="894"/>
      <c r="C20" s="897"/>
      <c r="D20" s="897"/>
      <c r="E20" s="898"/>
      <c r="F20" s="34"/>
      <c r="G20" s="35"/>
      <c r="J20" s="24"/>
    </row>
    <row r="21" spans="2:10">
      <c r="B21" s="894"/>
      <c r="C21" s="895"/>
      <c r="D21" s="895"/>
      <c r="E21" s="896"/>
      <c r="F21" s="34"/>
      <c r="G21" s="35"/>
    </row>
    <row r="22" spans="2:10">
      <c r="B22" s="894"/>
      <c r="C22" s="897"/>
      <c r="D22" s="897"/>
      <c r="E22" s="898"/>
      <c r="F22" s="34"/>
      <c r="G22" s="35"/>
    </row>
    <row r="23" spans="2:10">
      <c r="B23" s="894"/>
      <c r="C23" s="897"/>
      <c r="D23" s="897"/>
      <c r="E23" s="898"/>
      <c r="F23" s="34"/>
      <c r="G23" s="35"/>
    </row>
    <row r="24" spans="2:10">
      <c r="B24" s="894"/>
      <c r="C24" s="897"/>
      <c r="D24" s="897"/>
      <c r="E24" s="898"/>
      <c r="F24" s="34"/>
      <c r="G24" s="35"/>
    </row>
    <row r="25" spans="2:10" ht="14.5" thickBot="1">
      <c r="B25" s="912"/>
      <c r="C25" s="913"/>
      <c r="D25" s="913"/>
      <c r="E25" s="914"/>
      <c r="F25" s="25" t="s">
        <v>45</v>
      </c>
      <c r="G25" s="26">
        <f>SUM(G13:G24)</f>
        <v>0</v>
      </c>
    </row>
    <row r="26" spans="2:10" ht="14.5" thickTop="1"/>
    <row r="27" spans="2:10" ht="29.25" customHeight="1">
      <c r="B27" s="27" t="s">
        <v>46</v>
      </c>
      <c r="C27" s="1061" t="s">
        <v>47</v>
      </c>
      <c r="D27" s="1062"/>
      <c r="E27" s="1062"/>
      <c r="F27" s="1062"/>
      <c r="G27" s="24"/>
    </row>
    <row r="29" spans="2:10">
      <c r="B29" s="15" t="s">
        <v>48</v>
      </c>
    </row>
    <row r="31" spans="2:10">
      <c r="B31" s="15" t="s">
        <v>49</v>
      </c>
      <c r="C31" s="29" t="s">
        <v>0</v>
      </c>
      <c r="D31" s="15" t="s">
        <v>50</v>
      </c>
    </row>
    <row r="32" spans="2:10" ht="33.75" customHeight="1">
      <c r="C32" s="30" t="s">
        <v>2</v>
      </c>
      <c r="D32" s="910" t="s">
        <v>76</v>
      </c>
      <c r="E32" s="910"/>
      <c r="F32" s="910"/>
      <c r="G32" s="910"/>
      <c r="H32" s="28"/>
    </row>
    <row r="34" spans="2:14">
      <c r="B34" s="15" t="s">
        <v>51</v>
      </c>
      <c r="C34" s="29" t="s">
        <v>0</v>
      </c>
      <c r="D34" s="15" t="s">
        <v>52</v>
      </c>
      <c r="J34" s="910"/>
      <c r="K34" s="910"/>
      <c r="L34" s="910"/>
      <c r="M34" s="910"/>
      <c r="N34" s="910"/>
    </row>
    <row r="35" spans="2:14" ht="65.25" customHeight="1">
      <c r="C35" s="30" t="s">
        <v>2</v>
      </c>
      <c r="D35" s="980" t="s">
        <v>464</v>
      </c>
      <c r="E35" s="980"/>
      <c r="F35" s="980"/>
      <c r="G35" s="980"/>
    </row>
    <row r="36" spans="2:14">
      <c r="C36" s="31"/>
    </row>
    <row r="37" spans="2:14">
      <c r="C37" s="31"/>
      <c r="F37" s="16"/>
    </row>
    <row r="38" spans="2:14">
      <c r="B38" s="32" t="s">
        <v>77</v>
      </c>
    </row>
    <row r="39" spans="2:14">
      <c r="B39" s="32" t="s">
        <v>53</v>
      </c>
    </row>
    <row r="41" spans="2:14">
      <c r="B41" s="15" t="s">
        <v>54</v>
      </c>
      <c r="C41" s="29" t="s">
        <v>0</v>
      </c>
      <c r="D41" s="15" t="s">
        <v>55</v>
      </c>
    </row>
    <row r="42" spans="2:14">
      <c r="C42" s="29" t="s">
        <v>2</v>
      </c>
      <c r="D42" s="15" t="s">
        <v>56</v>
      </c>
    </row>
    <row r="44" spans="2:14" ht="64.5" customHeight="1">
      <c r="B44" s="917">
        <f>+'Transportation Budget'!C2</f>
        <v>0</v>
      </c>
      <c r="C44" s="917"/>
      <c r="D44" s="917"/>
      <c r="F44" s="916">
        <f>'Provider Information'!$F$13</f>
        <v>0</v>
      </c>
      <c r="G44" s="916"/>
    </row>
    <row r="45" spans="2:14">
      <c r="B45" s="919" t="s">
        <v>57</v>
      </c>
      <c r="C45" s="919"/>
      <c r="D45" s="919"/>
      <c r="E45" s="16"/>
      <c r="F45" s="918" t="s">
        <v>34</v>
      </c>
      <c r="G45" s="918"/>
      <c r="I45" s="14"/>
    </row>
    <row r="47" spans="2:14">
      <c r="B47" s="920"/>
      <c r="C47" s="920"/>
      <c r="D47" s="920"/>
      <c r="F47" s="979"/>
      <c r="G47" s="979"/>
    </row>
    <row r="48" spans="2:14">
      <c r="B48" s="918" t="s">
        <v>36</v>
      </c>
      <c r="C48" s="919"/>
      <c r="D48" s="919"/>
      <c r="E48" s="16"/>
      <c r="F48" s="918" t="s">
        <v>35</v>
      </c>
      <c r="G48" s="918"/>
      <c r="I48" s="14"/>
    </row>
    <row r="49" spans="2:9">
      <c r="B49" s="16"/>
      <c r="C49" s="16"/>
      <c r="D49" s="16"/>
      <c r="E49" s="16"/>
      <c r="G49" s="14"/>
      <c r="H49" s="14"/>
      <c r="I49" s="14"/>
    </row>
    <row r="50" spans="2:9">
      <c r="B50" s="899"/>
      <c r="C50" s="899"/>
      <c r="D50" s="899"/>
      <c r="E50" s="899"/>
      <c r="F50" s="899"/>
      <c r="G50" s="899"/>
      <c r="H50" s="899"/>
    </row>
  </sheetData>
  <sheetProtection formatCells="0" formatColumns="0" formatRows="0"/>
  <customSheetViews>
    <customSheetView guid="{DDFE7685-90A4-42DC-AFD9-89B5EC30420E}" scale="80" showPageBreaks="1" showGridLines="0" fitToPage="1" printArea="1" topLeftCell="A4">
      <selection activeCell="M32" sqref="M32"/>
      <pageMargins left="0.7" right="0.7" top="0.75" bottom="0.75" header="0.3" footer="0.3"/>
      <pageSetup paperSize="5" scale="86" orientation="portrait" r:id="rId1"/>
    </customSheetView>
  </customSheetViews>
  <mergeCells count="35">
    <mergeCell ref="B47:D47"/>
    <mergeCell ref="F44:G44"/>
    <mergeCell ref="B44:D44"/>
    <mergeCell ref="D7:E7"/>
    <mergeCell ref="B21:E21"/>
    <mergeCell ref="B14:E14"/>
    <mergeCell ref="B15:E15"/>
    <mergeCell ref="B16:E16"/>
    <mergeCell ref="B17:E17"/>
    <mergeCell ref="B50:H50"/>
    <mergeCell ref="B48:D48"/>
    <mergeCell ref="F48:G48"/>
    <mergeCell ref="C5:E5"/>
    <mergeCell ref="B7:C7"/>
    <mergeCell ref="B45:D45"/>
    <mergeCell ref="F45:G45"/>
    <mergeCell ref="C27:F27"/>
    <mergeCell ref="D32:G32"/>
    <mergeCell ref="B18:E18"/>
    <mergeCell ref="B19:E19"/>
    <mergeCell ref="B20:E20"/>
    <mergeCell ref="F47:G47"/>
    <mergeCell ref="B9:G9"/>
    <mergeCell ref="B12:E12"/>
    <mergeCell ref="B13:E13"/>
    <mergeCell ref="C1:D1"/>
    <mergeCell ref="D2:G2"/>
    <mergeCell ref="J34:N34"/>
    <mergeCell ref="D35:G35"/>
    <mergeCell ref="B22:E22"/>
    <mergeCell ref="B23:E23"/>
    <mergeCell ref="B24:E24"/>
    <mergeCell ref="B25:E25"/>
    <mergeCell ref="B3:G3"/>
    <mergeCell ref="B4:G4"/>
  </mergeCells>
  <dataValidations count="2">
    <dataValidation operator="greaterThan" allowBlank="1" showInputMessage="1" showErrorMessage="1" sqref="F13:F24" xr:uid="{00000000-0002-0000-1300-000000000000}"/>
    <dataValidation type="decimal" allowBlank="1" showInputMessage="1" showErrorMessage="1" sqref="G13:G24" xr:uid="{00000000-0002-0000-1300-000001000000}">
      <formula1>0</formula1>
      <formula2>15000000</formula2>
    </dataValidation>
  </dataValidations>
  <hyperlinks>
    <hyperlink ref="C27" r:id="rId2" display="http://www.irs.gov/pub/irs-pdf/p561.pdf" xr:uid="{00000000-0004-0000-1300-000000000000}"/>
    <hyperlink ref="D35:G35" r:id="rId3" display="Documented prevailing wage in the Area. For prevailing wage information visit the Texas Workforce Commission’s website at  https://www.twc.texas.gov/news/efte/prevailing_wage_issues.html" xr:uid="{66C87071-BEB1-48BA-9A13-528CF69A4C00}"/>
  </hyperlinks>
  <pageMargins left="0.7" right="0.7" top="0.75" bottom="0.75" header="0.3" footer="0.3"/>
  <pageSetup paperSize="5" scale="86"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IK887"/>
  <sheetViews>
    <sheetView showGridLines="0" zoomScale="110" zoomScaleNormal="110" workbookViewId="0">
      <selection activeCell="B8" sqref="B8:G9"/>
    </sheetView>
  </sheetViews>
  <sheetFormatPr defaultColWidth="9.1796875" defaultRowHeight="12.5"/>
  <cols>
    <col min="1" max="1" width="5.54296875" customWidth="1"/>
    <col min="2" max="2" width="32.54296875" style="640" customWidth="1"/>
    <col min="3" max="3" width="35.26953125" style="640" customWidth="1"/>
    <col min="4" max="7" width="3.54296875" style="640" customWidth="1"/>
    <col min="246" max="16384" width="9.1796875" style="640"/>
  </cols>
  <sheetData>
    <row r="1" spans="2:8" customFormat="1">
      <c r="B1" s="606">
        <f ca="1">NOW()</f>
        <v>45380.323058564813</v>
      </c>
    </row>
    <row r="2" spans="2:8" customFormat="1">
      <c r="B2" s="273" t="s">
        <v>26</v>
      </c>
      <c r="C2" s="560" t="str">
        <f>IF(ISBLANK('Provider Information'!F6),"",+'Provider Information'!F6)</f>
        <v/>
      </c>
    </row>
    <row r="3" spans="2:8" customFormat="1">
      <c r="B3" s="572" t="s">
        <v>388</v>
      </c>
      <c r="C3" s="560">
        <f>+'Provider Information'!D21</f>
        <v>0</v>
      </c>
    </row>
    <row r="4" spans="2:8" customFormat="1">
      <c r="B4" s="641" t="s">
        <v>441</v>
      </c>
      <c r="C4" s="560" t="str">
        <f>+'Provider Information'!B5</f>
        <v/>
      </c>
    </row>
    <row r="5" spans="2:8" customFormat="1" ht="4.5" customHeight="1">
      <c r="B5" s="641"/>
    </row>
    <row r="6" spans="2:8" customFormat="1" ht="18">
      <c r="B6" s="746" t="s">
        <v>442</v>
      </c>
      <c r="C6" s="746"/>
      <c r="D6" s="746"/>
      <c r="E6" s="746"/>
      <c r="F6" s="746"/>
      <c r="G6" s="746"/>
    </row>
    <row r="7" spans="2:8" customFormat="1" ht="4.5" customHeight="1">
      <c r="B7" s="672"/>
      <c r="C7" s="672"/>
    </row>
    <row r="8" spans="2:8" customFormat="1" ht="12.75" customHeight="1">
      <c r="B8" s="745" t="s">
        <v>466</v>
      </c>
      <c r="C8" s="745"/>
      <c r="D8" s="745"/>
      <c r="E8" s="745"/>
      <c r="F8" s="745"/>
      <c r="G8" s="745"/>
      <c r="H8" s="673"/>
    </row>
    <row r="9" spans="2:8" customFormat="1">
      <c r="B9" s="745"/>
      <c r="C9" s="745"/>
      <c r="D9" s="745"/>
      <c r="E9" s="745"/>
      <c r="F9" s="745"/>
      <c r="G9" s="745"/>
      <c r="H9" s="673"/>
    </row>
    <row r="10" spans="2:8" customFormat="1">
      <c r="B10" s="673"/>
      <c r="C10" s="673"/>
      <c r="D10" s="673"/>
      <c r="E10" s="673"/>
      <c r="F10" s="673"/>
      <c r="G10" s="673"/>
      <c r="H10" s="673"/>
    </row>
    <row r="11" spans="2:8" customFormat="1" ht="12.75" customHeight="1">
      <c r="B11" s="745" t="s">
        <v>444</v>
      </c>
      <c r="C11" s="745"/>
      <c r="D11" s="745"/>
      <c r="E11" s="745"/>
      <c r="F11" s="745"/>
      <c r="G11" s="745"/>
    </row>
    <row r="12" spans="2:8" customFormat="1" ht="76.5" customHeight="1">
      <c r="B12" s="745"/>
      <c r="C12" s="745"/>
      <c r="D12" s="745"/>
      <c r="E12" s="745"/>
      <c r="F12" s="745"/>
      <c r="G12" s="745"/>
    </row>
    <row r="13" spans="2:8" customFormat="1" ht="8.25" customHeight="1"/>
    <row r="14" spans="2:8" customFormat="1" ht="13">
      <c r="B14" s="747" t="s">
        <v>443</v>
      </c>
      <c r="C14" s="748"/>
      <c r="D14" s="748"/>
      <c r="E14" s="748"/>
      <c r="F14" s="748"/>
      <c r="G14" s="749"/>
    </row>
    <row r="15" spans="2:8" ht="91.5" customHeight="1">
      <c r="B15" s="750"/>
      <c r="C15" s="751"/>
      <c r="D15" s="751"/>
      <c r="E15" s="751"/>
      <c r="F15" s="751"/>
      <c r="G15" s="752"/>
    </row>
    <row r="16" spans="2:8" customFormat="1" ht="12.75" customHeight="1">
      <c r="B16" s="740" t="s">
        <v>446</v>
      </c>
      <c r="C16" s="741"/>
      <c r="D16" s="741"/>
      <c r="E16" s="741"/>
      <c r="F16" s="741"/>
      <c r="G16" s="742"/>
    </row>
    <row r="17" spans="2:7" customFormat="1" ht="95.25" customHeight="1">
      <c r="B17" s="740"/>
      <c r="C17" s="741"/>
      <c r="D17" s="741"/>
      <c r="E17" s="741"/>
      <c r="F17" s="741"/>
      <c r="G17" s="742"/>
    </row>
    <row r="18" spans="2:7" customFormat="1" ht="12.75" customHeight="1">
      <c r="B18" s="753"/>
      <c r="C18" s="753"/>
      <c r="D18" s="753"/>
      <c r="E18" s="753"/>
      <c r="F18" s="753"/>
      <c r="G18" s="753"/>
    </row>
    <row r="19" spans="2:7" ht="15" customHeight="1">
      <c r="B19" s="743"/>
      <c r="C19" s="744"/>
      <c r="D19" s="744"/>
      <c r="E19" s="744"/>
      <c r="F19" s="744"/>
      <c r="G19" s="744"/>
    </row>
    <row r="20" spans="2:7" customFormat="1"/>
    <row r="21" spans="2:7" customFormat="1"/>
    <row r="22" spans="2:7" customFormat="1"/>
    <row r="23" spans="2:7" customFormat="1"/>
    <row r="24" spans="2:7" customFormat="1"/>
    <row r="25" spans="2:7" customFormat="1"/>
    <row r="26" spans="2:7" customFormat="1"/>
    <row r="27" spans="2:7" customFormat="1"/>
    <row r="28" spans="2:7" customFormat="1"/>
    <row r="29" spans="2:7" customFormat="1"/>
    <row r="30" spans="2:7" customFormat="1"/>
    <row r="31" spans="2:7" customFormat="1"/>
    <row r="32" spans="2:7" customFormat="1"/>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sheetData>
  <protectedRanges>
    <protectedRange sqref="B19" name="Range4"/>
    <protectedRange sqref="B15" name="Range3"/>
    <protectedRange sqref="B17" name="Range2"/>
    <protectedRange sqref="B15:G15" name="Range1"/>
  </protectedRanges>
  <mergeCells count="9">
    <mergeCell ref="B16:G16"/>
    <mergeCell ref="B19:G19"/>
    <mergeCell ref="B8:G9"/>
    <mergeCell ref="B6:G6"/>
    <mergeCell ref="B11:G12"/>
    <mergeCell ref="B14:G14"/>
    <mergeCell ref="B15:G15"/>
    <mergeCell ref="B18:G18"/>
    <mergeCell ref="B17:G1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FF00"/>
    <pageSetUpPr fitToPage="1"/>
  </sheetPr>
  <dimension ref="B1:AA71"/>
  <sheetViews>
    <sheetView showGridLines="0" zoomScale="106" zoomScaleNormal="106" workbookViewId="0">
      <selection activeCell="C2" sqref="C2:G2"/>
    </sheetView>
  </sheetViews>
  <sheetFormatPr defaultRowHeight="12.5"/>
  <cols>
    <col min="1" max="1" width="5.54296875" customWidth="1"/>
    <col min="2" max="2" width="40.81640625" customWidth="1"/>
    <col min="3" max="3" width="12.26953125" customWidth="1"/>
    <col min="4" max="4" width="11.26953125" bestFit="1" customWidth="1"/>
    <col min="5" max="5" width="2.26953125" customWidth="1"/>
    <col min="6" max="6" width="10" customWidth="1"/>
    <col min="7" max="7" width="1.1796875" customWidth="1"/>
    <col min="8" max="8" width="10.1796875" customWidth="1"/>
    <col min="9" max="9" width="4" customWidth="1"/>
    <col min="10" max="10" width="10.7265625" customWidth="1"/>
    <col min="11" max="11" width="10.453125" customWidth="1"/>
  </cols>
  <sheetData>
    <row r="1" spans="2:27">
      <c r="B1" s="606">
        <f ca="1">NOW()</f>
        <v>45380.323058564813</v>
      </c>
    </row>
    <row r="2" spans="2:27">
      <c r="B2" s="273" t="s">
        <v>26</v>
      </c>
      <c r="C2" s="779" t="str">
        <f>IF(ISBLANK('Provider Information'!F6),"",+'Provider Information'!F6)</f>
        <v/>
      </c>
      <c r="D2" s="780"/>
      <c r="E2" s="780"/>
      <c r="F2" s="780"/>
      <c r="G2" s="780"/>
    </row>
    <row r="3" spans="2:27">
      <c r="B3" s="572" t="s">
        <v>388</v>
      </c>
      <c r="C3" s="779">
        <f>+'Provider Information'!D21</f>
        <v>0</v>
      </c>
      <c r="D3" s="779"/>
      <c r="E3" s="779"/>
      <c r="F3" s="779"/>
      <c r="G3" s="779"/>
      <c r="H3" s="779"/>
    </row>
    <row r="4" spans="2:27">
      <c r="B4" s="641" t="s">
        <v>389</v>
      </c>
      <c r="C4" s="778">
        <f>+'Provider Information'!E26</f>
        <v>0</v>
      </c>
      <c r="D4" s="778"/>
      <c r="E4" s="778"/>
      <c r="F4" s="778"/>
      <c r="G4" s="778"/>
      <c r="H4" s="560"/>
      <c r="AA4" s="63"/>
    </row>
    <row r="5" spans="2:27" ht="18">
      <c r="B5" s="746" t="s">
        <v>300</v>
      </c>
      <c r="C5" s="746"/>
      <c r="D5" s="746"/>
      <c r="E5" s="746"/>
      <c r="F5" s="746"/>
      <c r="G5" s="746"/>
      <c r="H5" s="746"/>
    </row>
    <row r="6" spans="2:27" ht="55.5" customHeight="1">
      <c r="B6" s="772" t="s">
        <v>323</v>
      </c>
      <c r="C6" s="773"/>
      <c r="D6" s="773"/>
      <c r="E6" s="773"/>
      <c r="F6" s="773"/>
      <c r="G6" s="773"/>
      <c r="H6" s="773"/>
    </row>
    <row r="9" spans="2:27">
      <c r="C9" s="769" t="s">
        <v>248</v>
      </c>
      <c r="D9" s="769"/>
      <c r="E9" s="769"/>
      <c r="F9" s="769"/>
    </row>
    <row r="10" spans="2:27">
      <c r="C10" s="769"/>
      <c r="D10" s="769"/>
      <c r="E10" s="769"/>
      <c r="F10" s="769"/>
    </row>
    <row r="11" spans="2:27" ht="38">
      <c r="B11" s="110" t="s">
        <v>136</v>
      </c>
      <c r="C11" s="650" t="s">
        <v>246</v>
      </c>
      <c r="D11" s="650" t="s">
        <v>247</v>
      </c>
      <c r="E11" s="781" t="s">
        <v>301</v>
      </c>
      <c r="F11" s="782"/>
    </row>
    <row r="12" spans="2:27" ht="13">
      <c r="B12" s="71" t="s">
        <v>150</v>
      </c>
      <c r="C12" s="100">
        <f>IF('Provider Total Budget by Serv'!D37&gt;0,'Provider Total Budget by Serv'!D37/'Provider Total Budget by Serv'!C37,0)</f>
        <v>0</v>
      </c>
      <c r="D12" s="98">
        <f>IF('Provider Total Budget by Serv'!G37&gt;0,'Provider Total Budget by Serv'!G37/'Provider Total Budget by Serv'!C37,0)</f>
        <v>0</v>
      </c>
      <c r="E12" s="767">
        <f>IF('Provider Total Budget by Serv'!C37-'Provider Total Budget by Serv'!D37-'Provider Total Budget by Serv'!G37&gt;0,('Provider Total Budget by Serv'!C37-'Provider Total Budget by Serv'!D37-'Provider Total Budget by Serv'!G37)/'Provider Total Budget by Serv'!C37,0)</f>
        <v>0</v>
      </c>
      <c r="F12" s="768"/>
    </row>
    <row r="13" spans="2:27" ht="13">
      <c r="B13" s="90" t="s">
        <v>153</v>
      </c>
      <c r="C13" s="98">
        <f>IF('Provider Total Budget by Serv'!D54&gt;0,'Provider Total Budget by Serv'!D54/'Provider Total Budget by Serv'!C54,0)</f>
        <v>0</v>
      </c>
      <c r="D13" s="98">
        <f>IF('Provider Total Budget by Serv'!G54&gt;0,'Provider Total Budget by Serv'!G54/'Provider Total Budget by Serv'!C54,0)</f>
        <v>0</v>
      </c>
      <c r="E13" s="767">
        <f>IF('Provider Total Budget by Serv'!C54-'Provider Total Budget by Serv'!D54-'Provider Total Budget by Serv'!G54&gt;0,('Provider Total Budget by Serv'!C54-'Provider Total Budget by Serv'!D54-'Provider Total Budget by Serv'!G54)/'Provider Total Budget by Serv'!C54,0)</f>
        <v>0</v>
      </c>
      <c r="F13" s="768"/>
    </row>
    <row r="14" spans="2:27">
      <c r="B14" s="155" t="s">
        <v>173</v>
      </c>
      <c r="C14" s="99">
        <f>IF('Provider Total Budget by Serv'!D61&gt;0,'Provider Total Budget by Serv'!D61/'Provider Total Budget by Serv'!C61,0)</f>
        <v>0</v>
      </c>
      <c r="D14" s="99">
        <f>IF('Provider Total Budget by Serv'!G61&gt;0,'Provider Total Budget by Serv'!G61/'Provider Total Budget by Serv'!C61,0)</f>
        <v>0</v>
      </c>
      <c r="E14" s="770">
        <f>IF('Provider Total Budget by Serv'!C61-'Provider Total Budget by Serv'!D61-'Provider Total Budget by Serv'!G61&gt;0,('Provider Total Budget by Serv'!C61-'Provider Total Budget by Serv'!D61-'Provider Total Budget by Serv'!G61)/'Provider Total Budget by Serv'!C61,0)</f>
        <v>0</v>
      </c>
      <c r="F14" s="771"/>
    </row>
    <row r="15" spans="2:27">
      <c r="B15" s="155" t="s">
        <v>244</v>
      </c>
      <c r="C15" s="99">
        <f>IF('Provider Total Budget by Serv'!D68&gt;0,'Provider Total Budget by Serv'!D68/'Provider Total Budget by Serv'!C68,0)</f>
        <v>0</v>
      </c>
      <c r="D15" s="99">
        <f>IF('Provider Total Budget by Serv'!G68&gt;0,'Provider Total Budget by Serv'!G68/'Provider Total Budget by Serv'!C68,0)</f>
        <v>0</v>
      </c>
      <c r="E15" s="770">
        <f>IF('Provider Total Budget by Serv'!C68-'Provider Total Budget by Serv'!D68-'Provider Total Budget by Serv'!G68&gt;0,('Provider Total Budget by Serv'!C68-'Provider Total Budget by Serv'!D68-'Provider Total Budget by Serv'!G68)/'Provider Total Budget by Serv'!C68,0)</f>
        <v>0</v>
      </c>
      <c r="F15" s="771"/>
    </row>
    <row r="16" spans="2:27">
      <c r="B16" s="155" t="s">
        <v>174</v>
      </c>
      <c r="C16" s="99">
        <f>IF('Provider Total Budget by Serv'!D73&gt;0,'Provider Total Budget by Serv'!D73/'Provider Total Budget by Serv'!C73,0)</f>
        <v>0</v>
      </c>
      <c r="D16" s="99">
        <f>IF('Provider Total Budget by Serv'!G73&gt;0,'Provider Total Budget by Serv'!G73/'Provider Total Budget by Serv'!C73,0)</f>
        <v>0</v>
      </c>
      <c r="E16" s="770">
        <f>IF('Provider Total Budget by Serv'!C73-'Provider Total Budget by Serv'!D73-'Provider Total Budget by Serv'!G73&gt;0,('Provider Total Budget by Serv'!C73-'Provider Total Budget by Serv'!D73-'Provider Total Budget by Serv'!G73)/'Provider Total Budget by Serv'!C73,0)</f>
        <v>0</v>
      </c>
      <c r="F16" s="771"/>
    </row>
    <row r="17" spans="2:11">
      <c r="B17" s="155" t="s">
        <v>175</v>
      </c>
      <c r="C17" s="99">
        <f>IF('Provider Total Budget by Serv'!D78&gt;0,'Provider Total Budget by Serv'!D78/'Provider Total Budget by Serv'!C78,0)</f>
        <v>0</v>
      </c>
      <c r="D17" s="99">
        <f>IF('Provider Total Budget by Serv'!G78&gt;0,'Provider Total Budget by Serv'!G78/'Provider Total Budget by Serv'!C78,0)</f>
        <v>0</v>
      </c>
      <c r="E17" s="770">
        <f>IF('Provider Total Budget by Serv'!C78-'Provider Total Budget by Serv'!D78-'Provider Total Budget by Serv'!G78&gt;0,('Provider Total Budget by Serv'!C78-'Provider Total Budget by Serv'!D78-'Provider Total Budget by Serv'!G78)/'Provider Total Budget by Serv'!C78,0)</f>
        <v>0</v>
      </c>
      <c r="F17" s="771"/>
    </row>
    <row r="18" spans="2:11">
      <c r="B18" s="155" t="s">
        <v>157</v>
      </c>
      <c r="C18" s="99">
        <f>IF('Provider Total Budget by Serv'!D87&gt;0,'Provider Total Budget by Serv'!D87/'Provider Total Budget by Serv'!C87,0)</f>
        <v>0</v>
      </c>
      <c r="D18" s="99">
        <f>IF('Provider Total Budget by Serv'!G87&gt;0,'Provider Total Budget by Serv'!G87/'Provider Total Budget by Serv'!C87,0)</f>
        <v>0</v>
      </c>
      <c r="E18" s="770">
        <f>IF('Provider Total Budget by Serv'!C87-'Provider Total Budget by Serv'!D87-'Provider Total Budget by Serv'!G87&gt;0,('Provider Total Budget by Serv'!C87-'Provider Total Budget by Serv'!D87-'Provider Total Budget by Serv'!G87)/'Provider Total Budget by Serv'!C87,0)</f>
        <v>0</v>
      </c>
      <c r="F18" s="771"/>
    </row>
    <row r="19" spans="2:11">
      <c r="B19" s="155" t="s">
        <v>245</v>
      </c>
      <c r="C19" s="99">
        <f>IF('Provider Total Budget by Serv'!D92&gt;0,'Provider Total Budget by Serv'!D92/'Provider Total Budget by Serv'!C92,0)</f>
        <v>0</v>
      </c>
      <c r="D19" s="99">
        <f>IF('Provider Total Budget by Serv'!G92&gt;0,'Provider Total Budget by Serv'!G92/'Provider Total Budget by Serv'!C92,0)</f>
        <v>0</v>
      </c>
      <c r="E19" s="770">
        <f>IF('Provider Total Budget by Serv'!C92-'Provider Total Budget by Serv'!D92-'Provider Total Budget by Serv'!G92&gt;0,('Provider Total Budget by Serv'!C92-'Provider Total Budget by Serv'!D92-'Provider Total Budget by Serv'!G92)/'Provider Total Budget by Serv'!C92,0)</f>
        <v>0</v>
      </c>
      <c r="F19" s="771"/>
    </row>
    <row r="20" spans="2:11" ht="13">
      <c r="B20" s="90" t="s">
        <v>156</v>
      </c>
      <c r="C20" s="98">
        <f>IF('Provider Total Budget by Serv'!D93&gt;0,'Provider Total Budget by Serv'!D93/'Provider Total Budget by Serv'!C93,0)</f>
        <v>0</v>
      </c>
      <c r="D20" s="98">
        <f>IF('Provider Total Budget by Serv'!G93&gt;0,'Provider Total Budget by Serv'!G93/'Provider Total Budget by Serv'!C93,0)</f>
        <v>0</v>
      </c>
      <c r="E20" s="767">
        <f>IF('Provider Total Budget by Serv'!C93-'Provider Total Budget by Serv'!D93-'Provider Total Budget by Serv'!G93&gt;0,('Provider Total Budget by Serv'!C93-'Provider Total Budget by Serv'!D93-'Provider Total Budget by Serv'!G93)/'Provider Total Budget by Serv'!C93,0)</f>
        <v>0</v>
      </c>
      <c r="F20" s="768"/>
      <c r="K20" s="63"/>
    </row>
    <row r="21" spans="2:11" ht="13">
      <c r="B21" s="90" t="s">
        <v>163</v>
      </c>
      <c r="C21" s="98">
        <f>IF('Provider Total Budget by Serv'!D115&gt;0,'Provider Total Budget by Serv'!D115/'Provider Total Budget by Serv'!C115,0)</f>
        <v>0</v>
      </c>
      <c r="D21" s="98">
        <f>IF('Provider Total Budget by Serv'!G115&gt;0,'Provider Total Budget by Serv'!G115/'Provider Total Budget by Serv'!C115,0)</f>
        <v>0</v>
      </c>
      <c r="E21" s="767">
        <f>IF('Provider Total Budget by Serv'!C115-'Provider Total Budget by Serv'!D115-'Provider Total Budget by Serv'!G115&gt;0,('Provider Total Budget by Serv'!C115-'Provider Total Budget by Serv'!D115-'Provider Total Budget by Serv'!G115)/'Provider Total Budget by Serv'!C115,0)</f>
        <v>0</v>
      </c>
      <c r="F21" s="768"/>
    </row>
    <row r="22" spans="2:11" ht="13">
      <c r="B22" s="90" t="s">
        <v>168</v>
      </c>
      <c r="C22" s="98">
        <f>IF('Provider Total Budget by Serv'!D162&gt;0,'Provider Total Budget by Serv'!D162/'Provider Total Budget by Serv'!C162,0)</f>
        <v>0</v>
      </c>
      <c r="D22" s="98">
        <f>IF('Provider Total Budget by Serv'!G162&gt;0,'Provider Total Budget by Serv'!G162/'Provider Total Budget by Serv'!C162,0)</f>
        <v>0</v>
      </c>
      <c r="E22" s="767">
        <f>IF('Provider Total Budget by Serv'!C162-'Provider Total Budget by Serv'!D162-'Provider Total Budget by Serv'!G162&gt;0,('Provider Total Budget by Serv'!C162-'Provider Total Budget by Serv'!D162-'Provider Total Budget by Serv'!G162)/'Provider Total Budget by Serv'!C162,0)</f>
        <v>0</v>
      </c>
      <c r="F22" s="768"/>
    </row>
    <row r="23" spans="2:11" ht="13">
      <c r="B23" s="90" t="s">
        <v>171</v>
      </c>
      <c r="C23" s="98">
        <f>IF('Provider Total Budget by Serv'!D204&gt;0,'Provider Total Budget by Serv'!D204/'Provider Total Budget by Serv'!C204,0)</f>
        <v>0</v>
      </c>
      <c r="D23" s="98">
        <f>IF('Provider Total Budget by Serv'!G204&gt;0,'Provider Total Budget by Serv'!G204/'Provider Total Budget by Serv'!C204,0)</f>
        <v>0</v>
      </c>
      <c r="E23" s="767">
        <f>IF('Provider Total Budget by Serv'!C204-'Provider Total Budget by Serv'!D204-'Provider Total Budget by Serv'!G204&gt;0,('Provider Total Budget by Serv'!C204-'Provider Total Budget by Serv'!D204-'Provider Total Budget by Serv'!G204)/'Provider Total Budget by Serv'!C204,0)</f>
        <v>0</v>
      </c>
      <c r="F23" s="768"/>
    </row>
    <row r="24" spans="2:11" ht="13">
      <c r="B24" s="90" t="s">
        <v>172</v>
      </c>
      <c r="C24" s="98">
        <f>IF('Provider Total Budget by Serv'!D276&gt;0,'Provider Total Budget by Serv'!D276/'Provider Total Budget by Serv'!C276,0)</f>
        <v>0</v>
      </c>
      <c r="D24" s="98">
        <f>IF('Provider Total Budget by Serv'!G276&gt;0,'Provider Total Budget by Serv'!G276/'Provider Total Budget by Serv'!C276,0)</f>
        <v>0</v>
      </c>
      <c r="E24" s="767">
        <f>IF('Provider Total Budget by Serv'!C276-'Provider Total Budget by Serv'!D276-'Provider Total Budget by Serv'!G276&gt;0,('Provider Total Budget by Serv'!C276-'Provider Total Budget by Serv'!D276-'Provider Total Budget by Serv'!G276)/'Provider Total Budget by Serv'!C276,0)</f>
        <v>0</v>
      </c>
      <c r="F24" s="768"/>
    </row>
    <row r="25" spans="2:11" ht="13">
      <c r="B25" s="90" t="s">
        <v>28</v>
      </c>
      <c r="C25" s="98">
        <f>IF('Provider Total Budget by Serv'!D278&gt;0,'Provider Total Budget by Serv'!D278/'Provider Total Budget by Serv'!$C$278,0)</f>
        <v>0</v>
      </c>
      <c r="D25" s="98">
        <f>IF('Provider Total Budget by Serv'!G278&gt;0,'Provider Total Budget by Serv'!G278/'Provider Total Budget by Serv'!$C$278,0)</f>
        <v>0</v>
      </c>
      <c r="E25" s="767">
        <f>IF('Provider Total Budget by Serv'!C278-'Provider Total Budget by Serv'!D278-'Provider Total Budget by Serv'!G278&gt;0,('Provider Total Budget by Serv'!C278-'Provider Total Budget by Serv'!D278-'Provider Total Budget by Serv'!G278)/'Provider Total Budget by Serv'!C278,0)</f>
        <v>0</v>
      </c>
      <c r="F25" s="768"/>
    </row>
    <row r="27" spans="2:11" ht="13">
      <c r="B27" s="156" t="s">
        <v>302</v>
      </c>
    </row>
    <row r="28" spans="2:11" ht="171" customHeight="1">
      <c r="B28" s="774" t="s">
        <v>322</v>
      </c>
      <c r="C28" s="774"/>
      <c r="D28" s="774"/>
      <c r="E28" s="774"/>
      <c r="F28" s="774"/>
      <c r="G28" s="774"/>
      <c r="H28" s="774"/>
    </row>
    <row r="33" spans="2:12" ht="18">
      <c r="B33" s="746" t="s">
        <v>303</v>
      </c>
      <c r="C33" s="746"/>
      <c r="D33" s="746"/>
      <c r="E33" s="746"/>
      <c r="F33" s="746"/>
      <c r="G33" s="746"/>
      <c r="H33" s="746"/>
      <c r="I33" s="746"/>
      <c r="J33" s="746"/>
      <c r="K33" s="746"/>
    </row>
    <row r="34" spans="2:12" ht="152.25" customHeight="1">
      <c r="B34" s="745" t="s">
        <v>447</v>
      </c>
      <c r="C34" s="777"/>
      <c r="D34" s="777"/>
      <c r="E34" s="777"/>
      <c r="F34" s="777"/>
      <c r="G34" s="777"/>
      <c r="H34" s="777"/>
      <c r="I34" s="777"/>
      <c r="J34" s="777"/>
      <c r="K34" s="777"/>
    </row>
    <row r="36" spans="2:12" ht="12.75" customHeight="1">
      <c r="C36" s="775" t="s">
        <v>318</v>
      </c>
      <c r="D36" s="776"/>
      <c r="E36" s="1"/>
      <c r="F36" s="769" t="s">
        <v>319</v>
      </c>
      <c r="G36" s="769"/>
      <c r="H36" s="769"/>
      <c r="J36" s="775" t="s">
        <v>320</v>
      </c>
      <c r="K36" s="776"/>
    </row>
    <row r="37" spans="2:12">
      <c r="C37" s="776"/>
      <c r="D37" s="776"/>
      <c r="E37" s="1"/>
      <c r="F37" s="769"/>
      <c r="G37" s="769"/>
      <c r="H37" s="769"/>
      <c r="J37" s="776"/>
      <c r="K37" s="776"/>
    </row>
    <row r="38" spans="2:12" ht="38">
      <c r="B38" s="97" t="s">
        <v>136</v>
      </c>
      <c r="C38" s="650" t="s">
        <v>246</v>
      </c>
      <c r="D38" s="650" t="s">
        <v>247</v>
      </c>
      <c r="E38" s="234"/>
      <c r="F38" s="769" t="s">
        <v>246</v>
      </c>
      <c r="G38" s="769"/>
      <c r="H38" s="246" t="s">
        <v>247</v>
      </c>
      <c r="J38" s="650" t="s">
        <v>246</v>
      </c>
      <c r="K38" s="650" t="s">
        <v>247</v>
      </c>
    </row>
    <row r="39" spans="2:12" ht="13">
      <c r="B39" s="71" t="s">
        <v>150</v>
      </c>
      <c r="C39" s="102">
        <f>+'Provider Total Budget by Serv'!D37</f>
        <v>0</v>
      </c>
      <c r="D39" s="102">
        <f>+'Provider Total Budget by Serv'!G37</f>
        <v>0</v>
      </c>
      <c r="E39" s="235"/>
      <c r="F39" s="756">
        <f t="shared" ref="F39:F55" si="0">IF(C39=0,0,C39/(C39+D39))</f>
        <v>0</v>
      </c>
      <c r="G39" s="756"/>
      <c r="H39" s="237">
        <f>IF(D39=0,0,D39/(C39+D39))</f>
        <v>0</v>
      </c>
      <c r="J39" s="102">
        <f t="shared" ref="J39:K40" si="1">IF(C39&gt;0,(+C39/C$57)*C$65,0)</f>
        <v>0</v>
      </c>
      <c r="K39" s="102">
        <f t="shared" si="1"/>
        <v>0</v>
      </c>
    </row>
    <row r="40" spans="2:12" ht="13">
      <c r="B40" s="90" t="s">
        <v>153</v>
      </c>
      <c r="C40" s="102">
        <f>+'Provider Total Budget by Serv'!D54</f>
        <v>0</v>
      </c>
      <c r="D40" s="102">
        <f>+'Provider Total Budget by Serv'!G54</f>
        <v>0</v>
      </c>
      <c r="E40" s="235"/>
      <c r="F40" s="756">
        <f t="shared" si="0"/>
        <v>0</v>
      </c>
      <c r="G40" s="756"/>
      <c r="H40" s="237">
        <f t="shared" ref="H40:H55" si="2">IF(D40=0,0,D40/(C40+D40))</f>
        <v>0</v>
      </c>
      <c r="J40" s="102">
        <f t="shared" si="1"/>
        <v>0</v>
      </c>
      <c r="K40" s="102">
        <f t="shared" si="1"/>
        <v>0</v>
      </c>
    </row>
    <row r="41" spans="2:12">
      <c r="B41" s="582" t="s">
        <v>173</v>
      </c>
      <c r="C41" s="103">
        <f>+'Provider Total Budget by Serv'!D61</f>
        <v>0</v>
      </c>
      <c r="D41" s="103">
        <f>+'Provider Total Budget by Serv'!G61</f>
        <v>0</v>
      </c>
      <c r="E41" s="236"/>
      <c r="F41" s="757">
        <f t="shared" si="0"/>
        <v>0</v>
      </c>
      <c r="G41" s="757"/>
      <c r="H41" s="241">
        <f t="shared" si="2"/>
        <v>0</v>
      </c>
      <c r="J41" s="103">
        <f>IF(C41&gt;0,(+C41/HD_MealsPreparedByProvider),0)</f>
        <v>0</v>
      </c>
      <c r="K41" s="103">
        <f>IF(D41&gt;0,(+D41/C_MealsPreparedByProvider),0)</f>
        <v>0</v>
      </c>
      <c r="L41" s="539">
        <f>IF(K41&lt;&gt;J41,"?",0)</f>
        <v>0</v>
      </c>
    </row>
    <row r="42" spans="2:12" ht="13">
      <c r="B42" s="586" t="s">
        <v>243</v>
      </c>
      <c r="C42" s="581"/>
      <c r="D42" s="581"/>
      <c r="E42" s="236"/>
      <c r="F42" s="759"/>
      <c r="G42" s="760"/>
      <c r="H42" s="590"/>
      <c r="J42" s="581"/>
      <c r="K42" s="581"/>
      <c r="L42" s="539"/>
    </row>
    <row r="43" spans="2:12" ht="26">
      <c r="B43" s="579" t="s">
        <v>242</v>
      </c>
      <c r="C43" s="583">
        <f>+HD_Purchased_Hot_Meals</f>
        <v>0</v>
      </c>
      <c r="D43" s="583">
        <f>+C_Purchased_Hot_Meals</f>
        <v>0</v>
      </c>
      <c r="E43" s="584"/>
      <c r="F43" s="758">
        <f t="shared" ref="F43:F45" si="3">IF(C43=0,0,C43/(C43+D43))</f>
        <v>0</v>
      </c>
      <c r="G43" s="758"/>
      <c r="H43" s="585">
        <f t="shared" ref="H43:H45" si="4">IF(D43=0,0,D43/(C43+D43))</f>
        <v>0</v>
      </c>
      <c r="J43" s="583">
        <f>IF(C43&gt;0,+C43/HD_HotPrepMealsPurchfromSupplierCentralKitch,0)</f>
        <v>0</v>
      </c>
      <c r="K43" s="583">
        <f>IF(D43&gt;0,+D43/C_HotPrepMealsPurchfromSupplierCentralKitch,0)</f>
        <v>0</v>
      </c>
      <c r="L43" s="539"/>
    </row>
    <row r="44" spans="2:12" ht="13">
      <c r="B44" s="579" t="s">
        <v>382</v>
      </c>
      <c r="C44" s="583">
        <f>+HD_Purchased_Frozen_Meals</f>
        <v>0</v>
      </c>
      <c r="D44" s="583">
        <f>+C_Purchased_Frozen_Meals</f>
        <v>0</v>
      </c>
      <c r="E44" s="584"/>
      <c r="F44" s="758">
        <f t="shared" si="3"/>
        <v>0</v>
      </c>
      <c r="G44" s="758"/>
      <c r="H44" s="585">
        <f t="shared" si="4"/>
        <v>0</v>
      </c>
      <c r="J44" s="583">
        <f>IF(C44&gt;0,+C44/HD_PurchasedFrozenMeals,0)</f>
        <v>0</v>
      </c>
      <c r="K44" s="583">
        <f>IF(D44&gt;0,+D44/C_PurchasedFrozenMeals,0)</f>
        <v>0</v>
      </c>
      <c r="L44" s="539"/>
    </row>
    <row r="45" spans="2:12" ht="13">
      <c r="B45" s="579" t="s">
        <v>383</v>
      </c>
      <c r="C45" s="583">
        <f>+HD_Purchased_ChilledMeals</f>
        <v>0</v>
      </c>
      <c r="D45" s="583">
        <f>+C_Purchased_ChilledMeals</f>
        <v>0</v>
      </c>
      <c r="E45" s="584"/>
      <c r="F45" s="758">
        <f t="shared" si="3"/>
        <v>0</v>
      </c>
      <c r="G45" s="758"/>
      <c r="H45" s="585">
        <f t="shared" si="4"/>
        <v>0</v>
      </c>
      <c r="J45" s="583">
        <f>IF(C45&gt;0,+C45/HDM_Purchased_Chilled_Meals,0)</f>
        <v>0</v>
      </c>
      <c r="K45" s="583">
        <f>IF(D45&gt;0,+D45/CM_Purchased_Chilled_Meals,0)</f>
        <v>0</v>
      </c>
      <c r="L45" s="539"/>
    </row>
    <row r="46" spans="2:12" ht="13">
      <c r="B46" s="579" t="s">
        <v>386</v>
      </c>
      <c r="C46" s="583">
        <f>+HD_Purchased_ShelfStableMeals</f>
        <v>0</v>
      </c>
      <c r="D46" s="583">
        <f>+C_Purchased_ShelfStableMeals</f>
        <v>0</v>
      </c>
      <c r="E46" s="584"/>
      <c r="F46" s="758">
        <f t="shared" si="0"/>
        <v>0</v>
      </c>
      <c r="G46" s="758"/>
      <c r="H46" s="585">
        <f t="shared" si="2"/>
        <v>0</v>
      </c>
      <c r="J46" s="583">
        <f>IF(C46&gt;0,+C46/HD_PurchasedShelfStableMeals,0)</f>
        <v>0</v>
      </c>
      <c r="K46" s="583">
        <f>IF(D46&gt;0,+D46/C_PurchasedShelfStableMeals,0)</f>
        <v>0</v>
      </c>
    </row>
    <row r="47" spans="2:12" ht="13">
      <c r="B47" s="587"/>
      <c r="C47" s="588"/>
      <c r="D47" s="588"/>
      <c r="E47" s="584"/>
      <c r="F47" s="754"/>
      <c r="G47" s="755"/>
      <c r="H47" s="589"/>
      <c r="J47" s="588"/>
      <c r="K47" s="588"/>
    </row>
    <row r="48" spans="2:12">
      <c r="B48" s="582" t="s">
        <v>157</v>
      </c>
      <c r="C48" s="103">
        <f>+'Provider Total Budget by Serv'!D87</f>
        <v>0</v>
      </c>
      <c r="D48" s="103">
        <f>+'Provider Total Budget by Serv'!G87</f>
        <v>0</v>
      </c>
      <c r="E48" s="236"/>
      <c r="F48" s="757">
        <f t="shared" si="0"/>
        <v>0</v>
      </c>
      <c r="G48" s="757"/>
      <c r="H48" s="241">
        <f t="shared" si="2"/>
        <v>0</v>
      </c>
      <c r="J48" s="103">
        <f t="shared" ref="J48:J56" si="5">IF(C48&gt;0,(+C48/C$57)*C$65,0)</f>
        <v>0</v>
      </c>
      <c r="K48" s="103">
        <f t="shared" ref="K48:K56" si="6">IF(D48&gt;0,(+D48/D$57)*D$65,0)</f>
        <v>0</v>
      </c>
    </row>
    <row r="49" spans="2:17">
      <c r="B49" s="582" t="s">
        <v>245</v>
      </c>
      <c r="C49" s="103">
        <f>+'Provider Total Budget by Serv'!D92</f>
        <v>0</v>
      </c>
      <c r="D49" s="103">
        <f>+'Provider Total Budget by Serv'!G92</f>
        <v>0</v>
      </c>
      <c r="E49" s="236"/>
      <c r="F49" s="757">
        <f t="shared" si="0"/>
        <v>0</v>
      </c>
      <c r="G49" s="757"/>
      <c r="H49" s="241">
        <f t="shared" si="2"/>
        <v>0</v>
      </c>
      <c r="J49" s="103">
        <f t="shared" si="5"/>
        <v>0</v>
      </c>
      <c r="K49" s="103">
        <f t="shared" si="6"/>
        <v>0</v>
      </c>
    </row>
    <row r="50" spans="2:17" ht="13">
      <c r="B50" s="90" t="s">
        <v>156</v>
      </c>
      <c r="C50" s="102">
        <f>+'Provider Total Budget by Serv'!D93</f>
        <v>0</v>
      </c>
      <c r="D50" s="102">
        <f>+'Provider Total Budget by Serv'!G93</f>
        <v>0</v>
      </c>
      <c r="E50" s="235"/>
      <c r="F50" s="756">
        <f t="shared" si="0"/>
        <v>0</v>
      </c>
      <c r="G50" s="756"/>
      <c r="H50" s="237">
        <f t="shared" si="2"/>
        <v>0</v>
      </c>
      <c r="J50" s="102">
        <f t="shared" si="5"/>
        <v>0</v>
      </c>
      <c r="K50" s="102">
        <f t="shared" si="6"/>
        <v>0</v>
      </c>
      <c r="P50" s="12"/>
    </row>
    <row r="51" spans="2:17" ht="13">
      <c r="B51" s="90" t="s">
        <v>163</v>
      </c>
      <c r="C51" s="102">
        <f>+'Provider Total Budget by Serv'!D115</f>
        <v>0</v>
      </c>
      <c r="D51" s="102">
        <f>+'Provider Total Budget by Serv'!G115</f>
        <v>0</v>
      </c>
      <c r="E51" s="235"/>
      <c r="F51" s="756">
        <f t="shared" si="0"/>
        <v>0</v>
      </c>
      <c r="G51" s="756"/>
      <c r="H51" s="237">
        <f t="shared" si="2"/>
        <v>0</v>
      </c>
      <c r="J51" s="102">
        <f t="shared" si="5"/>
        <v>0</v>
      </c>
      <c r="K51" s="102">
        <f t="shared" si="6"/>
        <v>0</v>
      </c>
      <c r="P51" s="12"/>
      <c r="Q51" s="12"/>
    </row>
    <row r="52" spans="2:17" ht="13">
      <c r="B52" s="90" t="s">
        <v>168</v>
      </c>
      <c r="C52" s="102">
        <f>+'Provider Total Budget by Serv'!D162</f>
        <v>0</v>
      </c>
      <c r="D52" s="102">
        <f>+'Provider Total Budget by Serv'!G162</f>
        <v>0</v>
      </c>
      <c r="E52" s="235"/>
      <c r="F52" s="756">
        <f t="shared" si="0"/>
        <v>0</v>
      </c>
      <c r="G52" s="756"/>
      <c r="H52" s="237">
        <f t="shared" si="2"/>
        <v>0</v>
      </c>
      <c r="J52" s="102">
        <f t="shared" si="5"/>
        <v>0</v>
      </c>
      <c r="K52" s="102">
        <f t="shared" si="6"/>
        <v>0</v>
      </c>
    </row>
    <row r="53" spans="2:17" ht="13">
      <c r="B53" s="90" t="s">
        <v>171</v>
      </c>
      <c r="C53" s="102">
        <f>+'Provider Total Budget by Serv'!D204</f>
        <v>0</v>
      </c>
      <c r="D53" s="102">
        <f>+'Provider Total Budget by Serv'!G204</f>
        <v>0</v>
      </c>
      <c r="E53" s="235"/>
      <c r="F53" s="756">
        <f t="shared" si="0"/>
        <v>0</v>
      </c>
      <c r="G53" s="756"/>
      <c r="H53" s="237">
        <f t="shared" si="2"/>
        <v>0</v>
      </c>
      <c r="J53" s="102">
        <f t="shared" si="5"/>
        <v>0</v>
      </c>
      <c r="K53" s="102">
        <f t="shared" si="6"/>
        <v>0</v>
      </c>
    </row>
    <row r="54" spans="2:17" ht="13">
      <c r="B54" s="90" t="s">
        <v>172</v>
      </c>
      <c r="C54" s="102">
        <f>+'Provider Total Budget by Serv'!D276</f>
        <v>0</v>
      </c>
      <c r="D54" s="102">
        <f>+'Provider Total Budget by Serv'!G276</f>
        <v>0</v>
      </c>
      <c r="E54" s="235"/>
      <c r="F54" s="756">
        <f t="shared" si="0"/>
        <v>0</v>
      </c>
      <c r="G54" s="756"/>
      <c r="H54" s="237">
        <f t="shared" si="2"/>
        <v>0</v>
      </c>
      <c r="J54" s="102">
        <f t="shared" si="5"/>
        <v>0</v>
      </c>
      <c r="K54" s="102">
        <f t="shared" si="6"/>
        <v>0</v>
      </c>
    </row>
    <row r="55" spans="2:17" ht="13">
      <c r="B55" s="90" t="s">
        <v>314</v>
      </c>
      <c r="C55" s="102">
        <f>+'Provider Total Budget by Serv'!D278</f>
        <v>0</v>
      </c>
      <c r="D55" s="102">
        <f>+'Provider Total Budget by Serv'!G278</f>
        <v>0</v>
      </c>
      <c r="E55" s="235"/>
      <c r="F55" s="756">
        <f t="shared" si="0"/>
        <v>0</v>
      </c>
      <c r="G55" s="756"/>
      <c r="H55" s="237">
        <f t="shared" si="2"/>
        <v>0</v>
      </c>
      <c r="J55" s="102">
        <f t="shared" si="5"/>
        <v>0</v>
      </c>
      <c r="K55" s="102">
        <f t="shared" si="6"/>
        <v>0</v>
      </c>
    </row>
    <row r="56" spans="2:17" ht="13">
      <c r="B56" s="233" t="s">
        <v>237</v>
      </c>
      <c r="C56" s="238" t="e">
        <f>+'Home Delivered Meal Budget'!I22</f>
        <v>#DIV/0!</v>
      </c>
      <c r="D56" s="238" t="e">
        <f>+'Congregate Meal Budget'!I22</f>
        <v>#DIV/0!</v>
      </c>
      <c r="E56" s="239"/>
      <c r="F56" s="239"/>
      <c r="G56" s="242"/>
      <c r="H56" s="242"/>
      <c r="I56" s="240"/>
      <c r="J56" s="238" t="e">
        <f t="shared" si="5"/>
        <v>#DIV/0!</v>
      </c>
      <c r="K56" s="238" t="e">
        <f t="shared" si="6"/>
        <v>#DIV/0!</v>
      </c>
    </row>
    <row r="57" spans="2:17" ht="13">
      <c r="B57" s="90" t="s">
        <v>1</v>
      </c>
      <c r="C57" s="102" t="e">
        <f>+'Home Delivered Meal Budget'!I80</f>
        <v>#DIV/0!</v>
      </c>
      <c r="D57" s="102" t="e">
        <f>+'Congregate Meal Budget'!I80</f>
        <v>#DIV/0!</v>
      </c>
      <c r="E57" s="235"/>
      <c r="F57" s="235"/>
      <c r="G57" s="243"/>
      <c r="H57" s="243"/>
      <c r="J57" s="245" t="e">
        <f>+J55+J56</f>
        <v>#DIV/0!</v>
      </c>
      <c r="K57" s="245" t="e">
        <f>+K55+K56</f>
        <v>#DIV/0!</v>
      </c>
    </row>
    <row r="59" spans="2:17" ht="13">
      <c r="B59" s="90" t="s">
        <v>315</v>
      </c>
      <c r="C59" s="591">
        <f>+'Provider Total Budget by Serv'!D278</f>
        <v>0</v>
      </c>
      <c r="D59" s="591">
        <f>+'Provider Total Budget by Serv'!G278</f>
        <v>0</v>
      </c>
      <c r="E59" s="592"/>
      <c r="F59" s="766">
        <f>SUM(C59:D59)</f>
        <v>0</v>
      </c>
      <c r="G59" s="766"/>
    </row>
    <row r="60" spans="2:17" ht="13">
      <c r="B60" s="90" t="s">
        <v>316</v>
      </c>
      <c r="C60" s="593" t="e">
        <f>+C59/F59</f>
        <v>#DIV/0!</v>
      </c>
      <c r="D60" s="593" t="e">
        <f>+D59/F59</f>
        <v>#DIV/0!</v>
      </c>
      <c r="E60" s="594"/>
      <c r="F60" s="765" t="e">
        <f>SUM(C60:D60)</f>
        <v>#DIV/0!</v>
      </c>
      <c r="G60" s="765"/>
    </row>
    <row r="61" spans="2:17" ht="13">
      <c r="B61" s="156"/>
      <c r="C61" s="595"/>
      <c r="D61" s="595"/>
      <c r="E61" s="595"/>
      <c r="F61" s="595"/>
      <c r="G61" s="595"/>
    </row>
    <row r="62" spans="2:17" ht="13">
      <c r="B62" s="90" t="s">
        <v>199</v>
      </c>
      <c r="C62" s="596">
        <f>+'Provider Total Budget by Serv'!D294</f>
        <v>0</v>
      </c>
      <c r="D62" s="596">
        <f>+C_TotalBudgetedMeals</f>
        <v>0</v>
      </c>
      <c r="E62" s="597"/>
      <c r="F62" s="763">
        <f>SUM(C62:D62)</f>
        <v>0</v>
      </c>
      <c r="G62" s="764"/>
    </row>
    <row r="63" spans="2:17" ht="13">
      <c r="B63" s="90" t="s">
        <v>317</v>
      </c>
      <c r="C63" s="593" t="e">
        <f>+C62/F62</f>
        <v>#DIV/0!</v>
      </c>
      <c r="D63" s="593" t="e">
        <f>+D62/F62</f>
        <v>#DIV/0!</v>
      </c>
      <c r="E63" s="594"/>
      <c r="F63" s="765" t="e">
        <f>SUM(C63:D63)</f>
        <v>#DIV/0!</v>
      </c>
      <c r="G63" s="764"/>
    </row>
    <row r="64" spans="2:17" ht="13">
      <c r="B64" s="156"/>
      <c r="C64" s="558"/>
      <c r="D64" s="558"/>
      <c r="E64" s="558"/>
      <c r="F64" s="558"/>
      <c r="G64" s="558"/>
    </row>
    <row r="65" spans="2:11" ht="13">
      <c r="B65" s="90" t="s">
        <v>321</v>
      </c>
      <c r="C65" s="598" t="e">
        <f>+C57/C62</f>
        <v>#DIV/0!</v>
      </c>
      <c r="D65" s="598" t="e">
        <f>+D57/D62</f>
        <v>#DIV/0!</v>
      </c>
      <c r="E65" s="599"/>
      <c r="F65" s="558"/>
      <c r="G65" s="558"/>
    </row>
    <row r="66" spans="2:11" ht="13">
      <c r="B66" s="156"/>
      <c r="C66" s="599"/>
      <c r="D66" s="599"/>
      <c r="E66" s="599"/>
      <c r="F66" s="558"/>
      <c r="G66" s="558"/>
    </row>
    <row r="67" spans="2:11" ht="13">
      <c r="B67" s="90" t="s">
        <v>69</v>
      </c>
      <c r="C67" s="598">
        <f>+'Home Delivered Meal Budget'!I88</f>
        <v>0</v>
      </c>
      <c r="D67" s="598">
        <f>+'Congregate Meal Budget'!I93</f>
        <v>0</v>
      </c>
      <c r="E67" s="599"/>
      <c r="F67" s="558"/>
      <c r="G67" s="558"/>
    </row>
    <row r="69" spans="2:11" ht="15.75" customHeight="1"/>
    <row r="70" spans="2:11" ht="20.25" customHeight="1">
      <c r="B70" s="762" t="s">
        <v>302</v>
      </c>
      <c r="C70" s="762"/>
      <c r="D70" s="762"/>
      <c r="E70" s="762"/>
      <c r="F70" s="762"/>
      <c r="G70" s="762"/>
      <c r="H70" s="762"/>
      <c r="I70" s="762"/>
      <c r="J70" s="762"/>
      <c r="K70" s="762"/>
    </row>
    <row r="71" spans="2:11" ht="270" customHeight="1">
      <c r="B71" s="761" t="s">
        <v>324</v>
      </c>
      <c r="C71" s="761"/>
      <c r="D71" s="761"/>
      <c r="E71" s="761"/>
      <c r="F71" s="761"/>
      <c r="G71" s="761"/>
      <c r="H71" s="761"/>
      <c r="I71" s="761"/>
      <c r="J71" s="761"/>
      <c r="K71" s="761"/>
    </row>
  </sheetData>
  <sheetProtection formatColumns="0" formatRows="0"/>
  <customSheetViews>
    <customSheetView guid="{DDFE7685-90A4-42DC-AFD9-89B5EC30420E}" showPageBreaks="1" showGridLines="0" fitToPage="1" printArea="1" topLeftCell="A46">
      <selection activeCell="J12" sqref="J12"/>
      <rowBreaks count="2" manualBreakCount="2">
        <brk id="32" max="16383" man="1"/>
        <brk id="69" max="10" man="1"/>
      </rowBreaks>
      <pageMargins left="0.7" right="0.7" top="0.75" bottom="0.75" header="0.3" footer="0.3"/>
      <pageSetup paperSize="5" scale="78" fitToHeight="0" orientation="portrait" r:id="rId1"/>
    </customSheetView>
  </customSheetViews>
  <mergeCells count="51">
    <mergeCell ref="C4:G4"/>
    <mergeCell ref="C3:H3"/>
    <mergeCell ref="C2:G2"/>
    <mergeCell ref="E11:F11"/>
    <mergeCell ref="E12:F12"/>
    <mergeCell ref="E13:F13"/>
    <mergeCell ref="F50:G50"/>
    <mergeCell ref="B5:H5"/>
    <mergeCell ref="E25:F25"/>
    <mergeCell ref="E17:F17"/>
    <mergeCell ref="E18:F18"/>
    <mergeCell ref="F48:G48"/>
    <mergeCell ref="F49:G49"/>
    <mergeCell ref="C9:F10"/>
    <mergeCell ref="B6:H6"/>
    <mergeCell ref="B28:H28"/>
    <mergeCell ref="C36:D37"/>
    <mergeCell ref="B34:K34"/>
    <mergeCell ref="J36:K37"/>
    <mergeCell ref="F39:G39"/>
    <mergeCell ref="F38:G38"/>
    <mergeCell ref="E23:F23"/>
    <mergeCell ref="E24:F24"/>
    <mergeCell ref="F36:H37"/>
    <mergeCell ref="E21:F21"/>
    <mergeCell ref="E14:F14"/>
    <mergeCell ref="E15:F15"/>
    <mergeCell ref="E16:F16"/>
    <mergeCell ref="E19:F19"/>
    <mergeCell ref="E20:F20"/>
    <mergeCell ref="E22:F22"/>
    <mergeCell ref="B71:K71"/>
    <mergeCell ref="F51:G51"/>
    <mergeCell ref="F52:G52"/>
    <mergeCell ref="B70:K70"/>
    <mergeCell ref="F55:G55"/>
    <mergeCell ref="F53:G53"/>
    <mergeCell ref="F62:G62"/>
    <mergeCell ref="F60:G60"/>
    <mergeCell ref="F63:G63"/>
    <mergeCell ref="F59:G59"/>
    <mergeCell ref="F54:G54"/>
    <mergeCell ref="F47:G47"/>
    <mergeCell ref="F40:G40"/>
    <mergeCell ref="F41:G41"/>
    <mergeCell ref="F46:G46"/>
    <mergeCell ref="B33:K33"/>
    <mergeCell ref="F42:G42"/>
    <mergeCell ref="F43:G43"/>
    <mergeCell ref="F44:G44"/>
    <mergeCell ref="F45:G45"/>
  </mergeCells>
  <conditionalFormatting sqref="L41:L45">
    <cfRule type="cellIs" dxfId="9" priority="2" stopIfTrue="1" operator="greaterThan">
      <formula>0</formula>
    </cfRule>
  </conditionalFormatting>
  <dataValidations xWindow="849" yWindow="378" count="1">
    <dataValidation allowBlank="1" showInputMessage="1" showErrorMessage="1" promptTitle="Review Alert" prompt="If the same meal is being provided to congregate and home delivered clients the cost of the raw food should be the same per meal.If there is a difference in the cost per meal for raw food you must verify the reason for the diffference. " sqref="L41:L45 J41:K42" xr:uid="{00000000-0002-0000-0300-000000000000}"/>
  </dataValidations>
  <pageMargins left="0.7" right="0.7" top="0.75" bottom="0.75" header="0.3" footer="0.3"/>
  <pageSetup paperSize="5" scale="76" fitToHeight="0" orientation="portrait" r:id="rId2"/>
  <rowBreaks count="2" manualBreakCount="2">
    <brk id="32" max="16383" man="1"/>
    <brk id="69" max="10"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7030A0"/>
  </sheetPr>
  <dimension ref="A1:P124"/>
  <sheetViews>
    <sheetView topLeftCell="A68" zoomScale="110" zoomScaleNormal="110" workbookViewId="0">
      <selection activeCell="E82" sqref="E82"/>
    </sheetView>
  </sheetViews>
  <sheetFormatPr defaultColWidth="9.1796875" defaultRowHeight="12.5"/>
  <cols>
    <col min="1" max="1" width="3.54296875" style="273" customWidth="1"/>
    <col min="2" max="2" width="34.81640625" style="273" customWidth="1"/>
    <col min="3" max="3" width="11.7265625" style="410" customWidth="1"/>
    <col min="4" max="4" width="11.7265625" style="411" customWidth="1"/>
    <col min="5" max="5" width="12.1796875" style="248" customWidth="1"/>
    <col min="6" max="6" width="11.7265625" style="406" customWidth="1"/>
    <col min="7" max="7" width="11.7265625" style="408" customWidth="1"/>
    <col min="8" max="8" width="3.453125" style="277" customWidth="1"/>
    <col min="9" max="9" width="17.81640625" style="409" customWidth="1"/>
    <col min="10" max="10" width="17.81640625" style="248" customWidth="1"/>
    <col min="11" max="11" width="17.81640625" style="406" customWidth="1"/>
    <col min="12" max="12" width="3.453125" style="277" customWidth="1"/>
    <col min="13" max="13" width="52.7265625" style="277" customWidth="1"/>
    <col min="14" max="14" width="11.1796875" style="277" customWidth="1"/>
    <col min="15" max="15" width="4.54296875" style="248" customWidth="1"/>
    <col min="16" max="18" width="15.7265625" style="248" customWidth="1"/>
    <col min="19" max="16384" width="9.1796875" style="248"/>
  </cols>
  <sheetData>
    <row r="1" spans="1:16" ht="18">
      <c r="A1" s="429"/>
      <c r="B1" s="732" t="s">
        <v>197</v>
      </c>
      <c r="C1" s="732"/>
      <c r="D1" s="732"/>
      <c r="E1" s="732"/>
      <c r="F1" s="732"/>
      <c r="G1" s="732"/>
      <c r="H1" s="732"/>
      <c r="I1" s="732"/>
      <c r="J1" s="732"/>
      <c r="K1" s="732"/>
      <c r="L1" s="732"/>
      <c r="M1" s="732"/>
      <c r="N1" s="732"/>
      <c r="O1" s="422"/>
    </row>
    <row r="2" spans="1:16" ht="12.75" customHeight="1">
      <c r="A2" s="412"/>
      <c r="B2" s="573" t="s">
        <v>26</v>
      </c>
      <c r="C2" s="814">
        <f>'Provider Information'!$F$6</f>
        <v>0</v>
      </c>
      <c r="D2" s="814"/>
      <c r="E2" s="814"/>
      <c r="F2" s="814"/>
      <c r="G2" s="815"/>
      <c r="H2" s="317"/>
      <c r="I2" s="802" t="s">
        <v>255</v>
      </c>
      <c r="J2" s="802"/>
      <c r="K2" s="802"/>
      <c r="L2" s="802"/>
      <c r="M2" s="802"/>
      <c r="N2" s="803"/>
      <c r="O2" s="412"/>
    </row>
    <row r="3" spans="1:16" ht="12.75" customHeight="1">
      <c r="A3" s="412"/>
      <c r="B3" s="572" t="s">
        <v>388</v>
      </c>
      <c r="C3" s="780">
        <f>+'Provider Information'!D21</f>
        <v>0</v>
      </c>
      <c r="D3" s="780"/>
      <c r="E3" s="780"/>
      <c r="F3" s="780"/>
      <c r="G3" s="816"/>
      <c r="H3" s="318"/>
      <c r="I3" s="802"/>
      <c r="J3" s="802"/>
      <c r="K3" s="802"/>
      <c r="L3" s="802"/>
      <c r="M3" s="802"/>
      <c r="N3" s="803"/>
      <c r="O3" s="412"/>
    </row>
    <row r="4" spans="1:16" ht="12.75" customHeight="1">
      <c r="A4" s="413"/>
      <c r="B4" s="641" t="s">
        <v>389</v>
      </c>
      <c r="C4" s="817">
        <f>+'Provider Information'!E26</f>
        <v>0</v>
      </c>
      <c r="D4" s="817"/>
      <c r="E4" s="817"/>
      <c r="F4" s="817"/>
      <c r="G4" s="818"/>
      <c r="H4" s="318"/>
      <c r="I4" s="802"/>
      <c r="J4" s="802"/>
      <c r="K4" s="802"/>
      <c r="L4" s="802"/>
      <c r="M4" s="802"/>
      <c r="N4" s="803"/>
      <c r="O4" s="412"/>
    </row>
    <row r="5" spans="1:16" ht="13">
      <c r="A5" s="414"/>
      <c r="C5" s="826">
        <f ca="1">NOW()</f>
        <v>45380.323058564813</v>
      </c>
      <c r="D5" s="826">
        <f ca="1">NOW()</f>
        <v>45380.323058564813</v>
      </c>
      <c r="E5" s="826">
        <f ca="1">NOW()</f>
        <v>45380.323058564813</v>
      </c>
      <c r="F5" s="826">
        <f ca="1">NOW()</f>
        <v>45380.323058564813</v>
      </c>
      <c r="G5" s="826">
        <f ca="1">NOW()</f>
        <v>45380.323058564813</v>
      </c>
      <c r="H5" s="319"/>
      <c r="I5" s="831" t="s">
        <v>5</v>
      </c>
      <c r="J5" s="831"/>
      <c r="K5" s="831"/>
      <c r="L5" s="320"/>
      <c r="M5" s="821"/>
      <c r="N5" s="822"/>
      <c r="O5" s="412"/>
    </row>
    <row r="6" spans="1:16" ht="18" customHeight="1">
      <c r="A6" s="415"/>
      <c r="B6" s="848" t="s">
        <v>327</v>
      </c>
      <c r="C6" s="850">
        <v>2023</v>
      </c>
      <c r="D6" s="827"/>
      <c r="E6" s="827"/>
      <c r="F6" s="827"/>
      <c r="G6" s="828"/>
      <c r="H6" s="321"/>
      <c r="I6" s="832" t="s">
        <v>257</v>
      </c>
      <c r="J6" s="833"/>
      <c r="K6" s="833"/>
      <c r="L6" s="321"/>
      <c r="M6" s="804" t="s">
        <v>258</v>
      </c>
      <c r="N6" s="805"/>
      <c r="O6" s="675"/>
    </row>
    <row r="7" spans="1:16" ht="17.5">
      <c r="A7" s="415"/>
      <c r="B7" s="849"/>
      <c r="C7" s="851"/>
      <c r="D7" s="829"/>
      <c r="E7" s="829"/>
      <c r="F7" s="829"/>
      <c r="G7" s="830"/>
      <c r="H7" s="322"/>
      <c r="I7" s="834"/>
      <c r="J7" s="835"/>
      <c r="K7" s="835"/>
      <c r="L7" s="322"/>
      <c r="M7" s="804"/>
      <c r="N7" s="805"/>
      <c r="O7" s="675"/>
    </row>
    <row r="8" spans="1:16" ht="13">
      <c r="A8" s="414"/>
      <c r="C8" s="831"/>
      <c r="D8" s="831"/>
      <c r="E8" s="831"/>
      <c r="F8" s="831"/>
      <c r="G8" s="831"/>
      <c r="H8" s="323"/>
      <c r="I8" s="324"/>
      <c r="J8" s="325"/>
      <c r="K8" s="326"/>
      <c r="L8" s="323"/>
      <c r="M8" s="722"/>
      <c r="N8" s="723"/>
      <c r="O8" s="289"/>
    </row>
    <row r="9" spans="1:16" s="328" customFormat="1">
      <c r="A9" s="416"/>
      <c r="B9" s="836"/>
      <c r="C9" s="808" t="s">
        <v>458</v>
      </c>
      <c r="D9" s="810" t="s">
        <v>459</v>
      </c>
      <c r="E9" s="808" t="s">
        <v>460</v>
      </c>
      <c r="F9" s="812" t="s">
        <v>252</v>
      </c>
      <c r="G9" s="806" t="s">
        <v>253</v>
      </c>
      <c r="H9" s="327"/>
      <c r="I9" s="844" t="s">
        <v>461</v>
      </c>
      <c r="J9" s="846" t="s">
        <v>462</v>
      </c>
      <c r="K9" s="819" t="s">
        <v>253</v>
      </c>
      <c r="L9" s="327"/>
      <c r="M9" s="686" t="s">
        <v>454</v>
      </c>
      <c r="N9" s="669">
        <v>2.7E-2</v>
      </c>
      <c r="O9" s="676"/>
    </row>
    <row r="10" spans="1:16" s="328" customFormat="1">
      <c r="A10" s="416"/>
      <c r="B10" s="836"/>
      <c r="C10" s="809"/>
      <c r="D10" s="811"/>
      <c r="E10" s="809"/>
      <c r="F10" s="813"/>
      <c r="G10" s="807"/>
      <c r="H10" s="327"/>
      <c r="I10" s="845"/>
      <c r="J10" s="847"/>
      <c r="K10" s="820"/>
      <c r="L10" s="327"/>
      <c r="M10" s="686" t="s">
        <v>467</v>
      </c>
      <c r="N10" s="687">
        <v>2.4E-2</v>
      </c>
      <c r="O10" s="676"/>
    </row>
    <row r="11" spans="1:16" s="328" customFormat="1">
      <c r="A11" s="416"/>
      <c r="B11" s="836"/>
      <c r="C11" s="809"/>
      <c r="D11" s="811"/>
      <c r="E11" s="809"/>
      <c r="F11" s="813"/>
      <c r="G11" s="807"/>
      <c r="H11" s="327"/>
      <c r="I11" s="845"/>
      <c r="J11" s="847"/>
      <c r="K11" s="820"/>
      <c r="L11" s="327"/>
      <c r="M11" s="686" t="s">
        <v>304</v>
      </c>
      <c r="N11" s="667">
        <f>SUM(N9:N10)</f>
        <v>5.1000000000000004E-2</v>
      </c>
      <c r="O11" s="676"/>
    </row>
    <row r="12" spans="1:16" s="328" customFormat="1" ht="89.25" customHeight="1">
      <c r="A12" s="416"/>
      <c r="B12" s="836"/>
      <c r="C12" s="809"/>
      <c r="D12" s="811"/>
      <c r="E12" s="809"/>
      <c r="F12" s="813"/>
      <c r="G12" s="807"/>
      <c r="H12" s="327"/>
      <c r="I12" s="845"/>
      <c r="J12" s="847"/>
      <c r="K12" s="820"/>
      <c r="L12" s="327"/>
      <c r="M12" s="823" t="s">
        <v>414</v>
      </c>
      <c r="N12" s="824"/>
      <c r="O12" s="676"/>
    </row>
    <row r="13" spans="1:16" s="164" customFormat="1" ht="13">
      <c r="A13" s="417"/>
      <c r="B13" s="785" t="s">
        <v>230</v>
      </c>
      <c r="C13" s="825"/>
      <c r="D13" s="825"/>
      <c r="E13" s="825"/>
      <c r="F13" s="825"/>
      <c r="G13" s="825"/>
      <c r="H13" s="329"/>
      <c r="I13" s="330"/>
      <c r="J13" s="331"/>
      <c r="K13" s="332"/>
      <c r="L13" s="329"/>
      <c r="M13" s="333"/>
      <c r="N13" s="334"/>
      <c r="O13" s="677"/>
    </row>
    <row r="14" spans="1:16" s="73" customFormat="1">
      <c r="A14" s="418"/>
      <c r="B14" s="92" t="s">
        <v>204</v>
      </c>
      <c r="C14" s="67"/>
      <c r="D14" s="335"/>
      <c r="E14" s="106">
        <f>+D14-C14</f>
        <v>0</v>
      </c>
      <c r="F14" s="336">
        <f>IF(+C14+D14=0,0,(IF(AND(+C14=0,D14&gt;0),1,(IF(AND(+C14&gt;0,D14=0),-1,+C14/+D14-1)))))</f>
        <v>0</v>
      </c>
      <c r="G14" s="162"/>
      <c r="H14" s="337"/>
      <c r="I14" s="338">
        <f>+'Provider Total Budget by Serv'!D17+'Provider Total Budget by Serv'!D29</f>
        <v>0</v>
      </c>
      <c r="J14" s="339">
        <f>IF(I14+C14=0,0,(IF(AND(I14=0,C14&gt;0),-1,(IF(AND(I14&gt;0,C14=0),1,+I14/C14-1)))))</f>
        <v>0</v>
      </c>
      <c r="K14" s="213"/>
      <c r="L14" s="337"/>
      <c r="M14" s="837"/>
      <c r="N14" s="787"/>
      <c r="O14" s="421"/>
    </row>
    <row r="15" spans="1:16" s="73" customFormat="1">
      <c r="A15" s="419"/>
      <c r="B15" s="93" t="s">
        <v>205</v>
      </c>
      <c r="C15" s="69"/>
      <c r="D15" s="341"/>
      <c r="E15" s="342">
        <f>+D15-C15</f>
        <v>0</v>
      </c>
      <c r="F15" s="343">
        <f t="shared" ref="F15:F16" si="0">IF(+C15+D15=0,0,(IF(AND(+C15=0,D15&gt;0),1,(IF(AND(+C15&gt;0,D15=0),-1,+C15/+D15-1)))))</f>
        <v>0</v>
      </c>
      <c r="G15" s="161"/>
      <c r="H15" s="313"/>
      <c r="I15" s="167">
        <f>+'Provider Total Budget by Serv'!D36</f>
        <v>0</v>
      </c>
      <c r="J15" s="161">
        <f>IF(I15+C15=0,0,(IF(AND(I15=0,C15&gt;0),-1,(IF(AND(I15&gt;0,C15=0),1,+I15/C15-1)))))</f>
        <v>0</v>
      </c>
      <c r="K15" s="214"/>
      <c r="L15" s="313"/>
      <c r="M15" s="788"/>
      <c r="N15" s="787"/>
      <c r="O15" s="421"/>
    </row>
    <row r="16" spans="1:16" s="73" customFormat="1">
      <c r="A16" s="419"/>
      <c r="B16" s="93" t="s">
        <v>1</v>
      </c>
      <c r="C16" s="628">
        <f>SUM(C14:C15)</f>
        <v>0</v>
      </c>
      <c r="D16" s="629">
        <f>SUM(D14:D15)</f>
        <v>0</v>
      </c>
      <c r="E16" s="630">
        <f>+D16-C16</f>
        <v>0</v>
      </c>
      <c r="F16" s="345">
        <f t="shared" si="0"/>
        <v>0</v>
      </c>
      <c r="G16" s="346">
        <f>IF(AND(C16&gt;0,C$80&gt;0),+C16/C$80,0)</f>
        <v>0</v>
      </c>
      <c r="H16" s="313"/>
      <c r="I16" s="631">
        <f>SUM(I14:I15)</f>
        <v>0</v>
      </c>
      <c r="J16" s="632">
        <f>IF(I16+C16=0,0,(IF(AND(I16=0,C16&gt;0),-1,(IF(AND(I16&gt;0,C16=0),1,+I16/C16-1)))))</f>
        <v>0</v>
      </c>
      <c r="K16" s="633" t="e">
        <f>IF(AND(I16&gt;0,I$80&gt;0),+I16/I$80,0)</f>
        <v>#DIV/0!</v>
      </c>
      <c r="L16" s="313"/>
      <c r="M16" s="788"/>
      <c r="N16" s="787"/>
      <c r="O16" s="421"/>
    </row>
    <row r="17" spans="1:15" s="73" customFormat="1" ht="13">
      <c r="A17" s="420"/>
      <c r="B17" s="725" t="s">
        <v>237</v>
      </c>
      <c r="C17" s="725"/>
      <c r="D17" s="725"/>
      <c r="E17" s="725"/>
      <c r="F17" s="725"/>
      <c r="G17" s="785"/>
      <c r="H17" s="205"/>
      <c r="I17" s="348"/>
      <c r="J17" s="349"/>
      <c r="K17" s="350"/>
      <c r="L17" s="264"/>
      <c r="M17" s="351"/>
      <c r="N17" s="351"/>
      <c r="O17" s="421"/>
    </row>
    <row r="18" spans="1:15" s="73" customFormat="1">
      <c r="A18" s="418"/>
      <c r="B18" s="91" t="s">
        <v>204</v>
      </c>
      <c r="C18" s="67"/>
      <c r="D18" s="352"/>
      <c r="E18" s="106">
        <f>+D18-C18</f>
        <v>0</v>
      </c>
      <c r="F18" s="336">
        <f t="shared" ref="F18:F22" si="1">IF(+C18+D18=0,0,(IF(AND(+C18=0,D18&gt;0),1,(IF(AND(+C18&gt;0,D18=0),-1,+C18/+D18-1)))))</f>
        <v>0</v>
      </c>
      <c r="G18" s="353"/>
      <c r="H18" s="313"/>
      <c r="I18" s="165" t="e">
        <f>IF('Provider Total Budget by Serv'!E300="N",+'Provider Total Budget by Serv'!F17+'Provider Total Budget by Serv'!F29,((+'Provider Total Budget by Serv'!E17+'Provider Total Budget by Serv'!E29)*'Provider Total Budget by Serv'!D303)+'Provider Total Budget by Serv'!F17+'Provider Total Budget by Serv'!F29)</f>
        <v>#DIV/0!</v>
      </c>
      <c r="J18" s="162" t="e">
        <f>IF(I18+C18=0,0,(IF(AND(I18=0,C18&gt;0),-1,(IF(AND(I18&gt;0,C18=0),1,+I18/C18-1)))))</f>
        <v>#DIV/0!</v>
      </c>
      <c r="K18" s="212"/>
      <c r="L18" s="313"/>
      <c r="M18" s="837"/>
      <c r="N18" s="787"/>
      <c r="O18" s="421"/>
    </row>
    <row r="19" spans="1:15" s="73" customFormat="1">
      <c r="A19" s="419"/>
      <c r="B19" s="92" t="s">
        <v>205</v>
      </c>
      <c r="C19" s="68"/>
      <c r="D19" s="354"/>
      <c r="E19" s="106">
        <f>+D19-C19</f>
        <v>0</v>
      </c>
      <c r="F19" s="336">
        <f t="shared" si="1"/>
        <v>0</v>
      </c>
      <c r="G19" s="163"/>
      <c r="H19" s="313"/>
      <c r="I19" s="166" t="e">
        <f>IF('Provider Total Budget by Serv'!E300="N",+'Provider Total Budget by Serv'!F36,(+'Provider Total Budget by Serv'!E36*'Provider Total Budget by Serv'!D303)+'Provider Total Budget by Serv'!F36)</f>
        <v>#DIV/0!</v>
      </c>
      <c r="J19" s="163" t="e">
        <f>IF(I19+C19=0,0,(IF(AND(I19=0,C19&gt;0),-1,(IF(AND(I19&gt;0,C19=0),1,+I19/C19-1)))))</f>
        <v>#DIV/0!</v>
      </c>
      <c r="K19" s="213"/>
      <c r="L19" s="313"/>
      <c r="M19" s="788"/>
      <c r="N19" s="787"/>
      <c r="O19" s="421"/>
    </row>
    <row r="20" spans="1:15" s="73" customFormat="1">
      <c r="A20" s="419"/>
      <c r="B20" s="92" t="s">
        <v>208</v>
      </c>
      <c r="C20" s="68"/>
      <c r="D20" s="354"/>
      <c r="E20" s="106">
        <f>+D20-C20</f>
        <v>0</v>
      </c>
      <c r="F20" s="336">
        <f t="shared" si="1"/>
        <v>0</v>
      </c>
      <c r="G20" s="163"/>
      <c r="H20" s="313"/>
      <c r="I20" s="166" t="e">
        <f>IF('Provider Total Budget by Serv'!E300="N",+'Provider Total Budget by Serv'!F53,(+'Provider Total Budget by Serv'!E53*'Provider Total Budget by Serv'!D303)+'Provider Total Budget by Serv'!F53)</f>
        <v>#DIV/0!</v>
      </c>
      <c r="J20" s="163" t="e">
        <f>IF(I20+C20=0,0,(IF(AND(I20=0,C20&gt;0),-1,(IF(AND(I20&gt;0,C20=0),1,+I20/C20-1)))))</f>
        <v>#DIV/0!</v>
      </c>
      <c r="K20" s="213"/>
      <c r="L20" s="313"/>
      <c r="M20" s="788"/>
      <c r="N20" s="787"/>
      <c r="O20" s="421"/>
    </row>
    <row r="21" spans="1:15" s="73" customFormat="1">
      <c r="A21" s="419"/>
      <c r="B21" s="93" t="s">
        <v>206</v>
      </c>
      <c r="C21" s="69"/>
      <c r="D21" s="341"/>
      <c r="E21" s="342">
        <f>+D21-C21</f>
        <v>0</v>
      </c>
      <c r="F21" s="355">
        <f t="shared" si="1"/>
        <v>0</v>
      </c>
      <c r="G21" s="161"/>
      <c r="H21" s="313"/>
      <c r="I21" s="167" t="e">
        <f>IF('Provider Total Budget by Serv'!E300="N",+'Provider Total Budget by Serv'!F43,(+'Provider Total Budget by Serv'!E43*'Provider Total Budget by Serv'!D303)+'Provider Total Budget by Serv'!F43)</f>
        <v>#DIV/0!</v>
      </c>
      <c r="J21" s="161" t="e">
        <f>IF(I21+C21=0,0,(IF(AND(I21=0,C21&gt;0),-1,(IF(AND(I21&gt;0,C21=0),1,+I21/C21-1)))))</f>
        <v>#DIV/0!</v>
      </c>
      <c r="K21" s="214"/>
      <c r="L21" s="313"/>
      <c r="M21" s="788"/>
      <c r="N21" s="787"/>
      <c r="O21" s="421"/>
    </row>
    <row r="22" spans="1:15" s="73" customFormat="1">
      <c r="A22" s="419"/>
      <c r="B22" s="93" t="s">
        <v>1</v>
      </c>
      <c r="C22" s="75">
        <f>SUM(C18:C21)</f>
        <v>0</v>
      </c>
      <c r="D22" s="344">
        <f>SUM(D18:D21)</f>
        <v>0</v>
      </c>
      <c r="E22" s="106">
        <f>+D22-C22</f>
        <v>0</v>
      </c>
      <c r="F22" s="345">
        <f t="shared" si="1"/>
        <v>0</v>
      </c>
      <c r="G22" s="161">
        <f>IF(AND(C22&gt;0,C$80&gt;0),+C22/C$80,0)</f>
        <v>0</v>
      </c>
      <c r="H22" s="313"/>
      <c r="I22" s="168" t="e">
        <f>SUM(I18:I21)</f>
        <v>#DIV/0!</v>
      </c>
      <c r="J22" s="161" t="e">
        <f>IF(I22+C22=0,0,(IF(AND(I22=0,C22&gt;0),-1,(IF(AND(I22&gt;0,C22=0),1,+I22/C22-1)))))</f>
        <v>#DIV/0!</v>
      </c>
      <c r="K22" s="347" t="e">
        <f>IF(AND(I22&gt;0,I$80&gt;0),+I22/I$80,0)</f>
        <v>#DIV/0!</v>
      </c>
      <c r="L22" s="313"/>
      <c r="M22" s="788"/>
      <c r="N22" s="787"/>
      <c r="O22" s="421"/>
    </row>
    <row r="23" spans="1:15" s="73" customFormat="1" ht="12.75" customHeight="1">
      <c r="A23" s="420"/>
      <c r="B23" s="725" t="s">
        <v>231</v>
      </c>
      <c r="C23" s="725"/>
      <c r="D23" s="725"/>
      <c r="E23" s="725"/>
      <c r="F23" s="725"/>
      <c r="G23" s="785"/>
      <c r="H23" s="313"/>
      <c r="I23" s="348"/>
      <c r="J23" s="349"/>
      <c r="K23" s="350"/>
      <c r="L23" s="313"/>
      <c r="M23" s="351"/>
      <c r="N23" s="351"/>
      <c r="O23" s="421"/>
    </row>
    <row r="24" spans="1:15" s="73" customFormat="1">
      <c r="A24" s="418"/>
      <c r="B24" s="92" t="s">
        <v>206</v>
      </c>
      <c r="C24" s="67"/>
      <c r="D24" s="356"/>
      <c r="E24" s="106">
        <f>+D24-C24</f>
        <v>0</v>
      </c>
      <c r="F24" s="107">
        <f t="shared" ref="F24:F27" si="2">IF(+C24+D24=0,0,(IF(AND(+C24=0,D24&gt;0),1,(IF(AND(+C24&gt;0,D24=0),-1,+C24/+D24-1)))))</f>
        <v>0</v>
      </c>
      <c r="G24" s="353"/>
      <c r="H24" s="313"/>
      <c r="I24" s="166">
        <f>+'Provider Total Budget by Serv'!D43</f>
        <v>0</v>
      </c>
      <c r="J24" s="163">
        <f>IF(I24+C24=0,0,(IF(AND(I24=0,C24&gt;0),-1,(IF(AND(I24&gt;0,C24=0),1,+I24/C24-1)))))</f>
        <v>0</v>
      </c>
      <c r="K24" s="213"/>
      <c r="L24" s="313"/>
      <c r="M24" s="786"/>
      <c r="N24" s="787"/>
      <c r="O24" s="421"/>
    </row>
    <row r="25" spans="1:15" s="73" customFormat="1">
      <c r="A25" s="419"/>
      <c r="B25" s="92" t="s">
        <v>207</v>
      </c>
      <c r="C25" s="68"/>
      <c r="D25" s="105"/>
      <c r="E25" s="106">
        <f>+D25-C25</f>
        <v>0</v>
      </c>
      <c r="F25" s="107">
        <f t="shared" si="2"/>
        <v>0</v>
      </c>
      <c r="G25" s="163"/>
      <c r="H25" s="313"/>
      <c r="I25" s="166">
        <f>+'Provider Total Budget by Serv'!D48</f>
        <v>0</v>
      </c>
      <c r="J25" s="163">
        <f>IF(I25+C25=0,0,(IF(AND(I25=0,C25&gt;0),-1,(IF(AND(I25&gt;0,C25=0),1,+I25/C25-1)))))</f>
        <v>0</v>
      </c>
      <c r="K25" s="213"/>
      <c r="L25" s="313"/>
      <c r="M25" s="788"/>
      <c r="N25" s="787"/>
      <c r="O25" s="421"/>
    </row>
    <row r="26" spans="1:15" s="73" customFormat="1">
      <c r="A26" s="419"/>
      <c r="B26" s="93" t="s">
        <v>208</v>
      </c>
      <c r="C26" s="69"/>
      <c r="D26" s="341"/>
      <c r="E26" s="342">
        <f>+D26-C26</f>
        <v>0</v>
      </c>
      <c r="F26" s="343">
        <f t="shared" si="2"/>
        <v>0</v>
      </c>
      <c r="G26" s="161"/>
      <c r="H26" s="313"/>
      <c r="I26" s="167">
        <f>+'Provider Total Budget by Serv'!D53</f>
        <v>0</v>
      </c>
      <c r="J26" s="161">
        <f>IF(I26+C26=0,0,(IF(AND(I26=0,C26&gt;0),-1,(IF(AND(I26&gt;0,C26=0),1,+I26/C26-1)))))</f>
        <v>0</v>
      </c>
      <c r="K26" s="214"/>
      <c r="L26" s="313"/>
      <c r="M26" s="788"/>
      <c r="N26" s="787"/>
      <c r="O26" s="421"/>
    </row>
    <row r="27" spans="1:15" s="73" customFormat="1">
      <c r="A27" s="419"/>
      <c r="B27" s="93" t="s">
        <v>1</v>
      </c>
      <c r="C27" s="75">
        <f>SUM(C24:C26)</f>
        <v>0</v>
      </c>
      <c r="D27" s="76">
        <f>SUM(D24:D26)</f>
        <v>0</v>
      </c>
      <c r="E27" s="106">
        <f>+D27-C27</f>
        <v>0</v>
      </c>
      <c r="F27" s="345">
        <f t="shared" si="2"/>
        <v>0</v>
      </c>
      <c r="G27" s="161">
        <f>IF(AND(C27&gt;0,C$80&gt;0),+C27/C$80,0)</f>
        <v>0</v>
      </c>
      <c r="H27" s="313"/>
      <c r="I27" s="168">
        <f>SUM(I24:I26)</f>
        <v>0</v>
      </c>
      <c r="J27" s="161">
        <f>IF(I27+C27=0,0,(IF(AND(I27=0,C27&gt;0),-1,(IF(AND(I27&gt;0,C27=0),1,+I27/C27-1)))))</f>
        <v>0</v>
      </c>
      <c r="K27" s="347" t="e">
        <f>IF(AND(I27&gt;0,I$80&gt;0),+I27/I$80,0)</f>
        <v>#DIV/0!</v>
      </c>
      <c r="L27" s="313"/>
      <c r="M27" s="788"/>
      <c r="N27" s="787"/>
      <c r="O27" s="421"/>
    </row>
    <row r="28" spans="1:15" s="73" customFormat="1" ht="13">
      <c r="A28" s="420"/>
      <c r="B28" s="725" t="s">
        <v>232</v>
      </c>
      <c r="C28" s="725"/>
      <c r="D28" s="725"/>
      <c r="E28" s="725"/>
      <c r="F28" s="725"/>
      <c r="G28" s="785"/>
      <c r="H28" s="313"/>
      <c r="I28" s="348"/>
      <c r="J28" s="349"/>
      <c r="K28" s="350"/>
      <c r="L28" s="313"/>
      <c r="M28" s="351"/>
      <c r="N28" s="351"/>
      <c r="O28" s="421"/>
    </row>
    <row r="29" spans="1:15" s="73" customFormat="1">
      <c r="A29" s="418"/>
      <c r="B29" s="92" t="s">
        <v>20</v>
      </c>
      <c r="C29" s="67"/>
      <c r="D29" s="105"/>
      <c r="E29" s="106">
        <f t="shared" ref="E29:E35" si="3">+D29-C29</f>
        <v>0</v>
      </c>
      <c r="F29" s="107">
        <f t="shared" ref="F29:F35" si="4">IF(+C29+D29=0,0,(IF(AND(+C29=0,D29&gt;0),1,(IF(AND(+C29&gt;0,D29=0),-1,+C29/+D29-1)))))</f>
        <v>0</v>
      </c>
      <c r="G29" s="353"/>
      <c r="H29" s="313"/>
      <c r="I29" s="166">
        <f>+'Provider Total Budget by Serv'!D61</f>
        <v>0</v>
      </c>
      <c r="J29" s="163">
        <f t="shared" ref="J29:J35" si="5">IF(I29+C29=0,0,(IF(AND(I29=0,C29&gt;0),-1,(IF(AND(I29&gt;0,C29=0),1,+I29/C29-1)))))</f>
        <v>0</v>
      </c>
      <c r="K29" s="213"/>
      <c r="L29" s="313"/>
      <c r="M29" s="786"/>
      <c r="N29" s="787"/>
      <c r="O29" s="421"/>
    </row>
    <row r="30" spans="1:15" s="73" customFormat="1">
      <c r="A30" s="419"/>
      <c r="B30" s="104" t="s">
        <v>243</v>
      </c>
      <c r="C30" s="68"/>
      <c r="D30" s="105"/>
      <c r="E30" s="106">
        <f t="shared" si="3"/>
        <v>0</v>
      </c>
      <c r="F30" s="107">
        <f t="shared" si="4"/>
        <v>0</v>
      </c>
      <c r="G30" s="163"/>
      <c r="H30" s="313"/>
      <c r="I30" s="166">
        <f>+'Provider Total Budget by Serv'!D68</f>
        <v>0</v>
      </c>
      <c r="J30" s="163">
        <f t="shared" si="5"/>
        <v>0</v>
      </c>
      <c r="K30" s="213"/>
      <c r="L30" s="313"/>
      <c r="M30" s="788"/>
      <c r="N30" s="787"/>
      <c r="O30" s="421"/>
    </row>
    <row r="31" spans="1:15" s="73" customFormat="1">
      <c r="A31" s="419"/>
      <c r="B31" s="92" t="s">
        <v>21</v>
      </c>
      <c r="C31" s="68"/>
      <c r="D31" s="105"/>
      <c r="E31" s="106">
        <f t="shared" si="3"/>
        <v>0</v>
      </c>
      <c r="F31" s="107">
        <f t="shared" si="4"/>
        <v>0</v>
      </c>
      <c r="G31" s="163"/>
      <c r="H31" s="313"/>
      <c r="I31" s="166">
        <f>+'Provider Total Budget by Serv'!D73</f>
        <v>0</v>
      </c>
      <c r="J31" s="163">
        <f t="shared" si="5"/>
        <v>0</v>
      </c>
      <c r="K31" s="213"/>
      <c r="L31" s="313"/>
      <c r="M31" s="788"/>
      <c r="N31" s="787"/>
      <c r="O31" s="421"/>
    </row>
    <row r="32" spans="1:15" s="73" customFormat="1">
      <c r="A32" s="419"/>
      <c r="B32" s="92" t="s">
        <v>215</v>
      </c>
      <c r="C32" s="68"/>
      <c r="D32" s="105"/>
      <c r="E32" s="106">
        <f t="shared" si="3"/>
        <v>0</v>
      </c>
      <c r="F32" s="216">
        <f t="shared" si="4"/>
        <v>0</v>
      </c>
      <c r="G32" s="357"/>
      <c r="H32" s="313"/>
      <c r="I32" s="166">
        <f>+'Provider Total Budget by Serv'!D78</f>
        <v>0</v>
      </c>
      <c r="J32" s="163">
        <f t="shared" si="5"/>
        <v>0</v>
      </c>
      <c r="K32" s="213"/>
      <c r="L32" s="313"/>
      <c r="M32" s="788"/>
      <c r="N32" s="787"/>
      <c r="O32" s="421"/>
    </row>
    <row r="33" spans="1:15" s="73" customFormat="1">
      <c r="A33" s="419"/>
      <c r="B33" s="92" t="s">
        <v>216</v>
      </c>
      <c r="C33" s="68"/>
      <c r="D33" s="105"/>
      <c r="E33" s="106">
        <f t="shared" si="3"/>
        <v>0</v>
      </c>
      <c r="F33" s="216">
        <f t="shared" si="4"/>
        <v>0</v>
      </c>
      <c r="G33" s="163"/>
      <c r="H33" s="313"/>
      <c r="I33" s="166">
        <f>+'Provider Total Budget by Serv'!D87</f>
        <v>0</v>
      </c>
      <c r="J33" s="163">
        <f t="shared" si="5"/>
        <v>0</v>
      </c>
      <c r="K33" s="213"/>
      <c r="L33" s="313"/>
      <c r="M33" s="788"/>
      <c r="N33" s="787"/>
      <c r="O33" s="421"/>
    </row>
    <row r="34" spans="1:15" s="73" customFormat="1">
      <c r="A34" s="419"/>
      <c r="B34" s="93" t="s">
        <v>219</v>
      </c>
      <c r="C34" s="69"/>
      <c r="D34" s="358"/>
      <c r="E34" s="342">
        <f t="shared" si="3"/>
        <v>0</v>
      </c>
      <c r="F34" s="359">
        <f t="shared" si="4"/>
        <v>0</v>
      </c>
      <c r="G34" s="161"/>
      <c r="H34" s="313"/>
      <c r="I34" s="167">
        <f>+'Provider Total Budget by Serv'!D92</f>
        <v>0</v>
      </c>
      <c r="J34" s="161">
        <f t="shared" si="5"/>
        <v>0</v>
      </c>
      <c r="K34" s="214"/>
      <c r="L34" s="313"/>
      <c r="M34" s="788"/>
      <c r="N34" s="787"/>
      <c r="O34" s="421"/>
    </row>
    <row r="35" spans="1:15" s="73" customFormat="1">
      <c r="A35" s="419"/>
      <c r="B35" s="93" t="s">
        <v>1</v>
      </c>
      <c r="C35" s="75">
        <f>SUM(C29:C34)</f>
        <v>0</v>
      </c>
      <c r="D35" s="76">
        <f>SUM(D29:D34)</f>
        <v>0</v>
      </c>
      <c r="E35" s="106">
        <f t="shared" si="3"/>
        <v>0</v>
      </c>
      <c r="F35" s="345">
        <f t="shared" si="4"/>
        <v>0</v>
      </c>
      <c r="G35" s="161">
        <f>IF(AND(C35&gt;0,C$80&gt;0),+C35/C$80,0)</f>
        <v>0</v>
      </c>
      <c r="H35" s="313"/>
      <c r="I35" s="168">
        <f>SUM(I29:I34)</f>
        <v>0</v>
      </c>
      <c r="J35" s="161">
        <f t="shared" si="5"/>
        <v>0</v>
      </c>
      <c r="K35" s="347" t="e">
        <f>IF(AND(I35&gt;0,I$80&gt;0),+I35/I$80,0)</f>
        <v>#DIV/0!</v>
      </c>
      <c r="L35" s="313"/>
      <c r="M35" s="788"/>
      <c r="N35" s="787"/>
      <c r="O35" s="421"/>
    </row>
    <row r="36" spans="1:15" s="73" customFormat="1" ht="13">
      <c r="A36" s="420"/>
      <c r="B36" s="725" t="s">
        <v>233</v>
      </c>
      <c r="C36" s="725"/>
      <c r="D36" s="725"/>
      <c r="E36" s="725"/>
      <c r="F36" s="725"/>
      <c r="G36" s="785"/>
      <c r="H36" s="313"/>
      <c r="I36" s="348"/>
      <c r="J36" s="349"/>
      <c r="K36" s="350"/>
      <c r="L36" s="313"/>
      <c r="M36" s="351"/>
      <c r="N36" s="351"/>
      <c r="O36" s="421"/>
    </row>
    <row r="37" spans="1:15" s="73" customFormat="1">
      <c r="A37" s="418"/>
      <c r="B37" s="92" t="s">
        <v>209</v>
      </c>
      <c r="C37" s="67"/>
      <c r="D37" s="105"/>
      <c r="E37" s="106">
        <f>+D37-C37</f>
        <v>0</v>
      </c>
      <c r="F37" s="107">
        <f t="shared" ref="F37:F41" si="6">IF(+C37+D37=0,0,(IF(AND(+C37=0,D37&gt;0),1,(IF(AND(+C37&gt;0,D37=0),-1,+C37/+D37-1)))))</f>
        <v>0</v>
      </c>
      <c r="G37" s="357"/>
      <c r="H37" s="313"/>
      <c r="I37" s="166">
        <f>+'Provider Total Budget by Serv'!D99</f>
        <v>0</v>
      </c>
      <c r="J37" s="163">
        <f>IF(I37+C37=0,0,(IF(AND(I37=0,C37&gt;0),-1,(IF(AND(I37&gt;0,C37=0),1,+I37/C37-1)))))</f>
        <v>0</v>
      </c>
      <c r="K37" s="213"/>
      <c r="L37" s="313"/>
      <c r="M37" s="786"/>
      <c r="N37" s="787"/>
      <c r="O37" s="421"/>
    </row>
    <row r="38" spans="1:15" s="73" customFormat="1">
      <c r="A38" s="419"/>
      <c r="B38" s="92" t="s">
        <v>4</v>
      </c>
      <c r="C38" s="68"/>
      <c r="D38" s="105"/>
      <c r="E38" s="106">
        <f>+D38-C38</f>
        <v>0</v>
      </c>
      <c r="F38" s="107">
        <f t="shared" si="6"/>
        <v>0</v>
      </c>
      <c r="G38" s="163"/>
      <c r="H38" s="313"/>
      <c r="I38" s="166">
        <f>+'Provider Total Budget by Serv'!D104</f>
        <v>0</v>
      </c>
      <c r="J38" s="163">
        <f>IF(I38+C38=0,0,(IF(AND(I38=0,C38&gt;0),-1,(IF(AND(I38&gt;0,C38=0),1,+I38/C38-1)))))</f>
        <v>0</v>
      </c>
      <c r="K38" s="213"/>
      <c r="L38" s="313"/>
      <c r="M38" s="788"/>
      <c r="N38" s="787"/>
      <c r="O38" s="421"/>
    </row>
    <row r="39" spans="1:15" s="73" customFormat="1">
      <c r="A39" s="419"/>
      <c r="B39" s="92" t="s">
        <v>210</v>
      </c>
      <c r="C39" s="68"/>
      <c r="D39" s="105"/>
      <c r="E39" s="106">
        <f>+D39-C39</f>
        <v>0</v>
      </c>
      <c r="F39" s="107">
        <f t="shared" si="6"/>
        <v>0</v>
      </c>
      <c r="G39" s="163"/>
      <c r="H39" s="313"/>
      <c r="I39" s="166">
        <f>+'Provider Total Budget by Serv'!D109</f>
        <v>0</v>
      </c>
      <c r="J39" s="163">
        <f>IF(I39+C39=0,0,(IF(AND(I39=0,C39&gt;0),-1,(IF(AND(I39&gt;0,C39=0),1,+I39/C39-1)))))</f>
        <v>0</v>
      </c>
      <c r="K39" s="213"/>
      <c r="L39" s="313"/>
      <c r="M39" s="788"/>
      <c r="N39" s="787"/>
      <c r="O39" s="421"/>
    </row>
    <row r="40" spans="1:15" s="73" customFormat="1">
      <c r="A40" s="419"/>
      <c r="B40" s="93" t="s">
        <v>211</v>
      </c>
      <c r="C40" s="69"/>
      <c r="D40" s="341"/>
      <c r="E40" s="342">
        <f>+D40-C40</f>
        <v>0</v>
      </c>
      <c r="F40" s="343">
        <f t="shared" si="6"/>
        <v>0</v>
      </c>
      <c r="G40" s="161"/>
      <c r="H40" s="313"/>
      <c r="I40" s="167">
        <f>+'Provider Total Budget by Serv'!D114</f>
        <v>0</v>
      </c>
      <c r="J40" s="161">
        <f>IF(I40+C40=0,0,(IF(AND(I40=0,C40&gt;0),-1,(IF(AND(I40&gt;0,C40=0),1,+I40/C40-1)))))</f>
        <v>0</v>
      </c>
      <c r="K40" s="214"/>
      <c r="L40" s="313"/>
      <c r="M40" s="788"/>
      <c r="N40" s="787"/>
      <c r="O40" s="421"/>
    </row>
    <row r="41" spans="1:15" s="73" customFormat="1">
      <c r="A41" s="419"/>
      <c r="B41" s="93" t="s">
        <v>1</v>
      </c>
      <c r="C41" s="75">
        <f>SUM(C37:C40)</f>
        <v>0</v>
      </c>
      <c r="D41" s="76">
        <f>SUM(D37:D40)</f>
        <v>0</v>
      </c>
      <c r="E41" s="106">
        <f>+D41-C41</f>
        <v>0</v>
      </c>
      <c r="F41" s="345">
        <f t="shared" si="6"/>
        <v>0</v>
      </c>
      <c r="G41" s="161">
        <f>IF(AND(C41&gt;0,C$80&gt;0),+C41/C$80,0)</f>
        <v>0</v>
      </c>
      <c r="H41" s="313"/>
      <c r="I41" s="168">
        <f>SUM(I37:I40)</f>
        <v>0</v>
      </c>
      <c r="J41" s="161">
        <f>IF(I41+C41=0,0,(IF(AND(I41=0,C41&gt;0),-1,(IF(AND(I41&gt;0,C41=0),1,+I41/C41-1)))))</f>
        <v>0</v>
      </c>
      <c r="K41" s="347" t="e">
        <f>IF(AND(I41&gt;0,I$80&gt;0),+I41/I$80,0)</f>
        <v>#DIV/0!</v>
      </c>
      <c r="L41" s="313"/>
      <c r="M41" s="788"/>
      <c r="N41" s="787"/>
      <c r="O41" s="421"/>
    </row>
    <row r="42" spans="1:15" s="73" customFormat="1" ht="13">
      <c r="A42" s="420"/>
      <c r="B42" s="725" t="s">
        <v>234</v>
      </c>
      <c r="C42" s="725"/>
      <c r="D42" s="725"/>
      <c r="E42" s="725"/>
      <c r="F42" s="725"/>
      <c r="G42" s="785"/>
      <c r="H42" s="313"/>
      <c r="I42" s="348"/>
      <c r="J42" s="349"/>
      <c r="K42" s="350"/>
      <c r="L42" s="313"/>
      <c r="M42" s="360"/>
      <c r="N42" s="360"/>
      <c r="O42" s="421"/>
    </row>
    <row r="43" spans="1:15" s="73" customFormat="1">
      <c r="A43" s="418"/>
      <c r="B43" s="92" t="s">
        <v>6</v>
      </c>
      <c r="C43" s="67"/>
      <c r="D43" s="105"/>
      <c r="E43" s="106">
        <f t="shared" ref="E43:E52" si="7">+D43-C43</f>
        <v>0</v>
      </c>
      <c r="F43" s="107">
        <f t="shared" ref="F43:F52" si="8">IF(+C43+D43=0,0,(IF(AND(+C43=0,D43&gt;0),1,(IF(AND(+C43&gt;0,D43=0),-1,+C43/+D43-1)))))</f>
        <v>0</v>
      </c>
      <c r="G43" s="163"/>
      <c r="H43" s="313"/>
      <c r="I43" s="338">
        <f>+'Provider Total Budget by Serv'!D121</f>
        <v>0</v>
      </c>
      <c r="J43" s="163">
        <f t="shared" ref="J43:J52" si="9">IF(I43+C43=0,0,(IF(AND(I43=0,C43&gt;0),-1,(IF(AND(I43&gt;0,C43=0),1,+I43/C43-1)))))</f>
        <v>0</v>
      </c>
      <c r="K43" s="213"/>
      <c r="L43" s="313"/>
      <c r="M43" s="786"/>
      <c r="N43" s="787"/>
      <c r="O43" s="421"/>
    </row>
    <row r="44" spans="1:15" s="73" customFormat="1">
      <c r="A44" s="419"/>
      <c r="B44" s="92" t="s">
        <v>7</v>
      </c>
      <c r="C44" s="68"/>
      <c r="D44" s="105"/>
      <c r="E44" s="106">
        <f t="shared" si="7"/>
        <v>0</v>
      </c>
      <c r="F44" s="107">
        <f t="shared" si="8"/>
        <v>0</v>
      </c>
      <c r="G44" s="163"/>
      <c r="H44" s="313"/>
      <c r="I44" s="166">
        <f>+'Provider Total Budget by Serv'!D126</f>
        <v>0</v>
      </c>
      <c r="J44" s="163">
        <f t="shared" si="9"/>
        <v>0</v>
      </c>
      <c r="K44" s="213"/>
      <c r="L44" s="313"/>
      <c r="M44" s="788"/>
      <c r="N44" s="787"/>
      <c r="O44" s="421"/>
    </row>
    <row r="45" spans="1:15" s="73" customFormat="1">
      <c r="A45" s="419"/>
      <c r="B45" s="92" t="s">
        <v>209</v>
      </c>
      <c r="C45" s="68"/>
      <c r="D45" s="105"/>
      <c r="E45" s="106">
        <f t="shared" si="7"/>
        <v>0</v>
      </c>
      <c r="F45" s="107">
        <f t="shared" si="8"/>
        <v>0</v>
      </c>
      <c r="G45" s="357"/>
      <c r="H45" s="313"/>
      <c r="I45" s="166">
        <f>+'Provider Total Budget by Serv'!D131</f>
        <v>0</v>
      </c>
      <c r="J45" s="163">
        <f t="shared" si="9"/>
        <v>0</v>
      </c>
      <c r="K45" s="213"/>
      <c r="L45" s="313"/>
      <c r="M45" s="788"/>
      <c r="N45" s="787"/>
      <c r="O45" s="421"/>
    </row>
    <row r="46" spans="1:15" s="73" customFormat="1">
      <c r="A46" s="419"/>
      <c r="B46" s="92" t="s">
        <v>39</v>
      </c>
      <c r="C46" s="68"/>
      <c r="D46" s="105"/>
      <c r="E46" s="106">
        <f t="shared" si="7"/>
        <v>0</v>
      </c>
      <c r="F46" s="107">
        <f t="shared" si="8"/>
        <v>0</v>
      </c>
      <c r="G46" s="163"/>
      <c r="H46" s="313"/>
      <c r="I46" s="166">
        <f>+'Provider Total Budget by Serv'!D136</f>
        <v>0</v>
      </c>
      <c r="J46" s="163">
        <f t="shared" si="9"/>
        <v>0</v>
      </c>
      <c r="K46" s="213"/>
      <c r="L46" s="313"/>
      <c r="M46" s="788"/>
      <c r="N46" s="787"/>
      <c r="O46" s="421"/>
    </row>
    <row r="47" spans="1:15" s="73" customFormat="1">
      <c r="A47" s="419"/>
      <c r="B47" s="92" t="s">
        <v>212</v>
      </c>
      <c r="C47" s="68"/>
      <c r="D47" s="105"/>
      <c r="E47" s="106">
        <f t="shared" si="7"/>
        <v>0</v>
      </c>
      <c r="F47" s="107">
        <f t="shared" si="8"/>
        <v>0</v>
      </c>
      <c r="G47" s="163"/>
      <c r="H47" s="313"/>
      <c r="I47" s="166">
        <f>+'Provider Total Budget by Serv'!D141</f>
        <v>0</v>
      </c>
      <c r="J47" s="163">
        <f t="shared" si="9"/>
        <v>0</v>
      </c>
      <c r="K47" s="213"/>
      <c r="L47" s="313"/>
      <c r="M47" s="788"/>
      <c r="N47" s="787"/>
      <c r="O47" s="421"/>
    </row>
    <row r="48" spans="1:15" s="73" customFormat="1">
      <c r="A48" s="419"/>
      <c r="B48" s="92" t="s">
        <v>8</v>
      </c>
      <c r="C48" s="68"/>
      <c r="D48" s="105"/>
      <c r="E48" s="106">
        <f t="shared" si="7"/>
        <v>0</v>
      </c>
      <c r="F48" s="107">
        <f t="shared" si="8"/>
        <v>0</v>
      </c>
      <c r="G48" s="357"/>
      <c r="H48" s="313"/>
      <c r="I48" s="166">
        <f>+'Provider Total Budget by Serv'!D146</f>
        <v>0</v>
      </c>
      <c r="J48" s="163">
        <f t="shared" si="9"/>
        <v>0</v>
      </c>
      <c r="K48" s="213"/>
      <c r="L48" s="313"/>
      <c r="M48" s="788"/>
      <c r="N48" s="787"/>
      <c r="O48" s="421"/>
    </row>
    <row r="49" spans="1:15" s="73" customFormat="1">
      <c r="A49" s="419"/>
      <c r="B49" s="92" t="s">
        <v>9</v>
      </c>
      <c r="C49" s="68"/>
      <c r="D49" s="105"/>
      <c r="E49" s="106">
        <f t="shared" si="7"/>
        <v>0</v>
      </c>
      <c r="F49" s="107">
        <f t="shared" si="8"/>
        <v>0</v>
      </c>
      <c r="G49" s="163"/>
      <c r="H49" s="313"/>
      <c r="I49" s="166">
        <f>+'Provider Total Budget by Serv'!D151</f>
        <v>0</v>
      </c>
      <c r="J49" s="163">
        <f t="shared" si="9"/>
        <v>0</v>
      </c>
      <c r="K49" s="213"/>
      <c r="L49" s="313"/>
      <c r="M49" s="788"/>
      <c r="N49" s="787"/>
      <c r="O49" s="421"/>
    </row>
    <row r="50" spans="1:15" s="73" customFormat="1">
      <c r="A50" s="419"/>
      <c r="B50" s="92" t="s">
        <v>213</v>
      </c>
      <c r="C50" s="68"/>
      <c r="D50" s="105"/>
      <c r="E50" s="106">
        <f t="shared" si="7"/>
        <v>0</v>
      </c>
      <c r="F50" s="107">
        <f t="shared" si="8"/>
        <v>0</v>
      </c>
      <c r="G50" s="163"/>
      <c r="H50" s="313"/>
      <c r="I50" s="166">
        <f>+'Provider Total Budget by Serv'!D156</f>
        <v>0</v>
      </c>
      <c r="J50" s="163">
        <f t="shared" si="9"/>
        <v>0</v>
      </c>
      <c r="K50" s="213"/>
      <c r="L50" s="313"/>
      <c r="M50" s="788"/>
      <c r="N50" s="787"/>
      <c r="O50" s="421"/>
    </row>
    <row r="51" spans="1:15" s="73" customFormat="1">
      <c r="A51" s="419"/>
      <c r="B51" s="93" t="s">
        <v>214</v>
      </c>
      <c r="C51" s="69"/>
      <c r="D51" s="341"/>
      <c r="E51" s="342">
        <f t="shared" si="7"/>
        <v>0</v>
      </c>
      <c r="F51" s="343">
        <f t="shared" si="8"/>
        <v>0</v>
      </c>
      <c r="G51" s="161"/>
      <c r="H51" s="313"/>
      <c r="I51" s="167">
        <f>+'Provider Total Budget by Serv'!D161</f>
        <v>0</v>
      </c>
      <c r="J51" s="161">
        <f t="shared" si="9"/>
        <v>0</v>
      </c>
      <c r="K51" s="214"/>
      <c r="L51" s="313"/>
      <c r="M51" s="788"/>
      <c r="N51" s="787"/>
      <c r="O51" s="421"/>
    </row>
    <row r="52" spans="1:15" s="73" customFormat="1">
      <c r="A52" s="419"/>
      <c r="B52" s="93" t="s">
        <v>1</v>
      </c>
      <c r="C52" s="75">
        <f>SUM(C43:C51)</f>
        <v>0</v>
      </c>
      <c r="D52" s="76">
        <f>SUM(D43:D51)</f>
        <v>0</v>
      </c>
      <c r="E52" s="106">
        <f t="shared" si="7"/>
        <v>0</v>
      </c>
      <c r="F52" s="345">
        <f t="shared" si="8"/>
        <v>0</v>
      </c>
      <c r="G52" s="161">
        <f>IF(AND(C52&gt;0,C$80&gt;0),+C52/C$80,0)</f>
        <v>0</v>
      </c>
      <c r="H52" s="313"/>
      <c r="I52" s="168">
        <f>SUM(I43:I51)</f>
        <v>0</v>
      </c>
      <c r="J52" s="161">
        <f t="shared" si="9"/>
        <v>0</v>
      </c>
      <c r="K52" s="347" t="e">
        <f>IF(AND(I52&gt;0,I$80&gt;0),+I52/I$80,0)</f>
        <v>#DIV/0!</v>
      </c>
      <c r="L52" s="313"/>
      <c r="M52" s="788"/>
      <c r="N52" s="787"/>
      <c r="O52" s="421"/>
    </row>
    <row r="53" spans="1:15" s="73" customFormat="1" ht="13">
      <c r="A53" s="420"/>
      <c r="B53" s="725" t="s">
        <v>235</v>
      </c>
      <c r="C53" s="725"/>
      <c r="D53" s="725"/>
      <c r="E53" s="725"/>
      <c r="F53" s="725"/>
      <c r="G53" s="785"/>
      <c r="H53" s="313"/>
      <c r="I53" s="348"/>
      <c r="J53" s="349"/>
      <c r="K53" s="350"/>
      <c r="L53" s="313"/>
      <c r="M53" s="351"/>
      <c r="N53" s="351"/>
      <c r="O53" s="421"/>
    </row>
    <row r="54" spans="1:15" s="73" customFormat="1">
      <c r="A54" s="418"/>
      <c r="B54" s="92" t="s">
        <v>27</v>
      </c>
      <c r="C54" s="67"/>
      <c r="D54" s="105"/>
      <c r="E54" s="106">
        <f t="shared" ref="E54:E62" si="10">+D54-C54</f>
        <v>0</v>
      </c>
      <c r="F54" s="107">
        <f t="shared" ref="F54:F62" si="11">IF(+C54+D54=0,0,(IF(AND(+C54=0,D54&gt;0),1,(IF(AND(+C54&gt;0,D54=0),-1,+C54/+D54-1)))))</f>
        <v>0</v>
      </c>
      <c r="G54" s="361"/>
      <c r="H54" s="313"/>
      <c r="I54" s="166">
        <f>+'Provider Total Budget by Serv'!D168</f>
        <v>0</v>
      </c>
      <c r="J54" s="163">
        <f t="shared" ref="J54:J62" si="12">IF(I54+C54=0,0,(IF(AND(I54=0,C54&gt;0),-1,(IF(AND(I54&gt;0,C54=0),1,+I54/C54-1)))))</f>
        <v>0</v>
      </c>
      <c r="K54" s="213"/>
      <c r="L54" s="313"/>
      <c r="M54" s="786"/>
      <c r="N54" s="787"/>
      <c r="O54" s="421"/>
    </row>
    <row r="55" spans="1:15" s="73" customFormat="1">
      <c r="A55" s="419"/>
      <c r="B55" s="92" t="s">
        <v>22</v>
      </c>
      <c r="C55" s="68"/>
      <c r="D55" s="105"/>
      <c r="E55" s="106">
        <f t="shared" si="10"/>
        <v>0</v>
      </c>
      <c r="F55" s="107">
        <f t="shared" si="11"/>
        <v>0</v>
      </c>
      <c r="G55" s="362"/>
      <c r="H55" s="313"/>
      <c r="I55" s="166">
        <f>+'Provider Total Budget by Serv'!D173</f>
        <v>0</v>
      </c>
      <c r="J55" s="163">
        <f t="shared" si="12"/>
        <v>0</v>
      </c>
      <c r="K55" s="213"/>
      <c r="L55" s="313"/>
      <c r="M55" s="788"/>
      <c r="N55" s="787"/>
      <c r="O55" s="421"/>
    </row>
    <row r="56" spans="1:15" s="73" customFormat="1">
      <c r="A56" s="419"/>
      <c r="B56" s="92" t="s">
        <v>23</v>
      </c>
      <c r="C56" s="68"/>
      <c r="D56" s="105"/>
      <c r="E56" s="106">
        <f t="shared" si="10"/>
        <v>0</v>
      </c>
      <c r="F56" s="107">
        <f t="shared" si="11"/>
        <v>0</v>
      </c>
      <c r="G56" s="362"/>
      <c r="H56" s="313"/>
      <c r="I56" s="166">
        <f>+'Provider Total Budget by Serv'!D178</f>
        <v>0</v>
      </c>
      <c r="J56" s="163">
        <f t="shared" si="12"/>
        <v>0</v>
      </c>
      <c r="K56" s="213"/>
      <c r="L56" s="313"/>
      <c r="M56" s="788"/>
      <c r="N56" s="787"/>
      <c r="O56" s="421"/>
    </row>
    <row r="57" spans="1:15" s="73" customFormat="1">
      <c r="A57" s="419"/>
      <c r="B57" s="92" t="s">
        <v>217</v>
      </c>
      <c r="C57" s="68"/>
      <c r="D57" s="105"/>
      <c r="E57" s="106">
        <f t="shared" si="10"/>
        <v>0</v>
      </c>
      <c r="F57" s="107">
        <f t="shared" si="11"/>
        <v>0</v>
      </c>
      <c r="G57" s="362"/>
      <c r="H57" s="313"/>
      <c r="I57" s="166">
        <f>+'Provider Total Budget by Serv'!D183</f>
        <v>0</v>
      </c>
      <c r="J57" s="163">
        <f t="shared" si="12"/>
        <v>0</v>
      </c>
      <c r="K57" s="213"/>
      <c r="L57" s="313"/>
      <c r="M57" s="788"/>
      <c r="N57" s="787"/>
      <c r="O57" s="421"/>
    </row>
    <row r="58" spans="1:15" s="73" customFormat="1">
      <c r="A58" s="419"/>
      <c r="B58" s="92" t="s">
        <v>212</v>
      </c>
      <c r="C58" s="68"/>
      <c r="D58" s="105"/>
      <c r="E58" s="106">
        <f t="shared" si="10"/>
        <v>0</v>
      </c>
      <c r="F58" s="107">
        <f t="shared" si="11"/>
        <v>0</v>
      </c>
      <c r="G58" s="362"/>
      <c r="H58" s="313"/>
      <c r="I58" s="166">
        <f>+'Provider Total Budget by Serv'!D188</f>
        <v>0</v>
      </c>
      <c r="J58" s="163">
        <f t="shared" si="12"/>
        <v>0</v>
      </c>
      <c r="K58" s="213"/>
      <c r="L58" s="313"/>
      <c r="M58" s="788"/>
      <c r="N58" s="787"/>
      <c r="O58" s="421"/>
    </row>
    <row r="59" spans="1:15" s="73" customFormat="1">
      <c r="A59" s="419"/>
      <c r="B59" s="92" t="s">
        <v>218</v>
      </c>
      <c r="C59" s="68"/>
      <c r="D59" s="105"/>
      <c r="E59" s="106">
        <f t="shared" si="10"/>
        <v>0</v>
      </c>
      <c r="F59" s="107">
        <f t="shared" si="11"/>
        <v>0</v>
      </c>
      <c r="G59" s="163"/>
      <c r="H59" s="313"/>
      <c r="I59" s="166">
        <f>+'Provider Total Budget by Serv'!D193</f>
        <v>0</v>
      </c>
      <c r="J59" s="163">
        <f t="shared" si="12"/>
        <v>0</v>
      </c>
      <c r="K59" s="213"/>
      <c r="L59" s="313"/>
      <c r="M59" s="788"/>
      <c r="N59" s="787"/>
      <c r="O59" s="421"/>
    </row>
    <row r="60" spans="1:15" s="73" customFormat="1">
      <c r="A60" s="419"/>
      <c r="B60" s="92" t="s">
        <v>4</v>
      </c>
      <c r="C60" s="68"/>
      <c r="D60" s="105"/>
      <c r="E60" s="106">
        <f t="shared" si="10"/>
        <v>0</v>
      </c>
      <c r="F60" s="107">
        <f t="shared" si="11"/>
        <v>0</v>
      </c>
      <c r="G60" s="163"/>
      <c r="H60" s="313"/>
      <c r="I60" s="166">
        <f>+'Provider Total Budget by Serv'!D198</f>
        <v>0</v>
      </c>
      <c r="J60" s="163">
        <f t="shared" si="12"/>
        <v>0</v>
      </c>
      <c r="K60" s="213"/>
      <c r="L60" s="313"/>
      <c r="M60" s="788"/>
      <c r="N60" s="787"/>
      <c r="O60" s="421"/>
    </row>
    <row r="61" spans="1:15" s="73" customFormat="1">
      <c r="A61" s="419"/>
      <c r="B61" s="93" t="s">
        <v>29</v>
      </c>
      <c r="C61" s="69"/>
      <c r="D61" s="341"/>
      <c r="E61" s="342">
        <f t="shared" si="10"/>
        <v>0</v>
      </c>
      <c r="F61" s="343">
        <f t="shared" si="11"/>
        <v>0</v>
      </c>
      <c r="G61" s="161"/>
      <c r="H61" s="313"/>
      <c r="I61" s="167">
        <f>+'Provider Total Budget by Serv'!D203</f>
        <v>0</v>
      </c>
      <c r="J61" s="161">
        <f t="shared" si="12"/>
        <v>0</v>
      </c>
      <c r="K61" s="214"/>
      <c r="L61" s="313"/>
      <c r="M61" s="788"/>
      <c r="N61" s="787"/>
      <c r="O61" s="421"/>
    </row>
    <row r="62" spans="1:15" s="73" customFormat="1">
      <c r="A62" s="419"/>
      <c r="B62" s="93" t="s">
        <v>1</v>
      </c>
      <c r="C62" s="75">
        <f>SUM(C54:C61)</f>
        <v>0</v>
      </c>
      <c r="D62" s="76">
        <f>SUM(D54:D61)</f>
        <v>0</v>
      </c>
      <c r="E62" s="106">
        <f t="shared" si="10"/>
        <v>0</v>
      </c>
      <c r="F62" s="345">
        <f t="shared" si="11"/>
        <v>0</v>
      </c>
      <c r="G62" s="161">
        <f>IF(AND(C62&gt;0,C$80&gt;0),+C62/C$80,0)</f>
        <v>0</v>
      </c>
      <c r="H62" s="313"/>
      <c r="I62" s="168">
        <f>SUM(I54:I61)</f>
        <v>0</v>
      </c>
      <c r="J62" s="161">
        <f t="shared" si="12"/>
        <v>0</v>
      </c>
      <c r="K62" s="347" t="e">
        <f>IF(AND(I62&gt;0,I$80&gt;0),+I62/I$80,0)</f>
        <v>#DIV/0!</v>
      </c>
      <c r="L62" s="313"/>
      <c r="M62" s="788"/>
      <c r="N62" s="787"/>
      <c r="O62" s="421"/>
    </row>
    <row r="63" spans="1:15" s="73" customFormat="1" ht="13">
      <c r="A63" s="420"/>
      <c r="B63" s="725" t="s">
        <v>236</v>
      </c>
      <c r="C63" s="725"/>
      <c r="D63" s="725"/>
      <c r="E63" s="725"/>
      <c r="F63" s="725"/>
      <c r="G63" s="785"/>
      <c r="H63" s="313"/>
      <c r="I63" s="348"/>
      <c r="J63" s="349"/>
      <c r="K63" s="350"/>
      <c r="L63" s="313"/>
      <c r="M63" s="351"/>
      <c r="N63" s="351"/>
      <c r="O63" s="421"/>
    </row>
    <row r="64" spans="1:15" s="73" customFormat="1">
      <c r="A64" s="418"/>
      <c r="B64" s="92" t="s">
        <v>18</v>
      </c>
      <c r="C64" s="68"/>
      <c r="D64" s="105"/>
      <c r="E64" s="106">
        <f t="shared" ref="E64:E78" si="13">+D64-C64</f>
        <v>0</v>
      </c>
      <c r="F64" s="107">
        <f t="shared" ref="F64:F78" si="14">IF(+C64+D64=0,0,(IF(AND(+C64=0,D64&gt;0),1,(IF(AND(+C64&gt;0,D64=0),-1,+C64/+D64-1)))))</f>
        <v>0</v>
      </c>
      <c r="G64" s="362"/>
      <c r="H64" s="313"/>
      <c r="I64" s="166">
        <f>+'Provider Total Budget by Serv'!D210</f>
        <v>0</v>
      </c>
      <c r="J64" s="163">
        <f t="shared" ref="J64:J78" si="15">IF(I64+C64=0,0,(IF(AND(I64=0,C64&gt;0),-1,(IF(AND(I64&gt;0,C64=0),1,+I64/C64-1)))))</f>
        <v>0</v>
      </c>
      <c r="K64" s="213"/>
      <c r="L64" s="313"/>
      <c r="M64" s="786"/>
      <c r="N64" s="787"/>
      <c r="O64" s="421"/>
    </row>
    <row r="65" spans="1:15" s="73" customFormat="1">
      <c r="A65" s="419"/>
      <c r="B65" s="92" t="s">
        <v>10</v>
      </c>
      <c r="C65" s="68"/>
      <c r="D65" s="105"/>
      <c r="E65" s="106">
        <f t="shared" si="13"/>
        <v>0</v>
      </c>
      <c r="F65" s="107">
        <f t="shared" si="14"/>
        <v>0</v>
      </c>
      <c r="G65" s="362"/>
      <c r="H65" s="313"/>
      <c r="I65" s="166">
        <f>+'Provider Total Budget by Serv'!D215</f>
        <v>0</v>
      </c>
      <c r="J65" s="163">
        <f t="shared" si="15"/>
        <v>0</v>
      </c>
      <c r="K65" s="213"/>
      <c r="L65" s="313"/>
      <c r="M65" s="788"/>
      <c r="N65" s="787"/>
      <c r="O65" s="421"/>
    </row>
    <row r="66" spans="1:15" s="73" customFormat="1">
      <c r="A66" s="419"/>
      <c r="B66" s="92" t="s">
        <v>11</v>
      </c>
      <c r="C66" s="68"/>
      <c r="D66" s="105"/>
      <c r="E66" s="106">
        <f t="shared" si="13"/>
        <v>0</v>
      </c>
      <c r="F66" s="107">
        <f t="shared" si="14"/>
        <v>0</v>
      </c>
      <c r="G66" s="362"/>
      <c r="H66" s="313"/>
      <c r="I66" s="166">
        <f>+'Provider Total Budget by Serv'!D220</f>
        <v>0</v>
      </c>
      <c r="J66" s="163">
        <f t="shared" si="15"/>
        <v>0</v>
      </c>
      <c r="K66" s="213"/>
      <c r="L66" s="313"/>
      <c r="M66" s="788"/>
      <c r="N66" s="787"/>
      <c r="O66" s="421"/>
    </row>
    <row r="67" spans="1:15" s="73" customFormat="1">
      <c r="A67" s="419"/>
      <c r="B67" s="92" t="s">
        <v>12</v>
      </c>
      <c r="C67" s="68"/>
      <c r="D67" s="105"/>
      <c r="E67" s="106">
        <f t="shared" si="13"/>
        <v>0</v>
      </c>
      <c r="F67" s="107">
        <f t="shared" si="14"/>
        <v>0</v>
      </c>
      <c r="G67" s="362"/>
      <c r="H67" s="313"/>
      <c r="I67" s="166">
        <f>+'Provider Total Budget by Serv'!D225</f>
        <v>0</v>
      </c>
      <c r="J67" s="163">
        <f t="shared" si="15"/>
        <v>0</v>
      </c>
      <c r="K67" s="213"/>
      <c r="L67" s="313"/>
      <c r="M67" s="788"/>
      <c r="N67" s="787"/>
      <c r="O67" s="421"/>
    </row>
    <row r="68" spans="1:15" s="73" customFormat="1">
      <c r="A68" s="419"/>
      <c r="B68" s="92" t="s">
        <v>19</v>
      </c>
      <c r="C68" s="68"/>
      <c r="D68" s="105"/>
      <c r="E68" s="106">
        <f t="shared" si="13"/>
        <v>0</v>
      </c>
      <c r="F68" s="107">
        <f t="shared" si="14"/>
        <v>0</v>
      </c>
      <c r="G68" s="163"/>
      <c r="H68" s="313"/>
      <c r="I68" s="166">
        <f>+'Provider Total Budget by Serv'!D230</f>
        <v>0</v>
      </c>
      <c r="J68" s="163">
        <f t="shared" si="15"/>
        <v>0</v>
      </c>
      <c r="K68" s="213"/>
      <c r="L68" s="313"/>
      <c r="M68" s="788"/>
      <c r="N68" s="787"/>
      <c r="O68" s="421"/>
    </row>
    <row r="69" spans="1:15" s="73" customFormat="1">
      <c r="A69" s="419"/>
      <c r="B69" s="92" t="s">
        <v>13</v>
      </c>
      <c r="C69" s="68"/>
      <c r="D69" s="105"/>
      <c r="E69" s="106">
        <f t="shared" si="13"/>
        <v>0</v>
      </c>
      <c r="F69" s="107">
        <f t="shared" si="14"/>
        <v>0</v>
      </c>
      <c r="G69" s="163"/>
      <c r="H69" s="313"/>
      <c r="I69" s="166">
        <f>+'Provider Total Budget by Serv'!D235</f>
        <v>0</v>
      </c>
      <c r="J69" s="163">
        <f t="shared" si="15"/>
        <v>0</v>
      </c>
      <c r="K69" s="213"/>
      <c r="L69" s="313"/>
      <c r="M69" s="788"/>
      <c r="N69" s="787"/>
      <c r="O69" s="421"/>
    </row>
    <row r="70" spans="1:15" s="73" customFormat="1">
      <c r="A70" s="419"/>
      <c r="B70" s="92" t="s">
        <v>14</v>
      </c>
      <c r="C70" s="68"/>
      <c r="D70" s="105"/>
      <c r="E70" s="106">
        <f t="shared" si="13"/>
        <v>0</v>
      </c>
      <c r="F70" s="107">
        <f t="shared" si="14"/>
        <v>0</v>
      </c>
      <c r="G70" s="362"/>
      <c r="H70" s="313"/>
      <c r="I70" s="166">
        <f>+'Provider Total Budget by Serv'!D240</f>
        <v>0</v>
      </c>
      <c r="J70" s="163">
        <f t="shared" si="15"/>
        <v>0</v>
      </c>
      <c r="K70" s="213"/>
      <c r="L70" s="313"/>
      <c r="M70" s="788"/>
      <c r="N70" s="787"/>
      <c r="O70" s="421"/>
    </row>
    <row r="71" spans="1:15" s="73" customFormat="1">
      <c r="A71" s="419"/>
      <c r="B71" s="92" t="s">
        <v>15</v>
      </c>
      <c r="C71" s="68"/>
      <c r="D71" s="105"/>
      <c r="E71" s="106">
        <f t="shared" si="13"/>
        <v>0</v>
      </c>
      <c r="F71" s="107">
        <f t="shared" si="14"/>
        <v>0</v>
      </c>
      <c r="G71" s="362"/>
      <c r="H71" s="313"/>
      <c r="I71" s="166">
        <f>+'Provider Total Budget by Serv'!D245</f>
        <v>0</v>
      </c>
      <c r="J71" s="163">
        <f t="shared" si="15"/>
        <v>0</v>
      </c>
      <c r="K71" s="213"/>
      <c r="L71" s="313"/>
      <c r="M71" s="788"/>
      <c r="N71" s="787"/>
      <c r="O71" s="421"/>
    </row>
    <row r="72" spans="1:15" s="73" customFormat="1">
      <c r="A72" s="419"/>
      <c r="B72" s="92" t="s">
        <v>16</v>
      </c>
      <c r="C72" s="68"/>
      <c r="D72" s="105"/>
      <c r="E72" s="106">
        <f t="shared" si="13"/>
        <v>0</v>
      </c>
      <c r="F72" s="107">
        <f t="shared" si="14"/>
        <v>0</v>
      </c>
      <c r="G72" s="362"/>
      <c r="H72" s="313"/>
      <c r="I72" s="166">
        <f>+'Provider Total Budget by Serv'!D250</f>
        <v>0</v>
      </c>
      <c r="J72" s="163">
        <f t="shared" si="15"/>
        <v>0</v>
      </c>
      <c r="K72" s="213"/>
      <c r="L72" s="313"/>
      <c r="M72" s="788"/>
      <c r="N72" s="787"/>
      <c r="O72" s="421"/>
    </row>
    <row r="73" spans="1:15" s="73" customFormat="1">
      <c r="A73" s="419"/>
      <c r="B73" s="92" t="s">
        <v>24</v>
      </c>
      <c r="C73" s="68"/>
      <c r="D73" s="105"/>
      <c r="E73" s="106">
        <f t="shared" si="13"/>
        <v>0</v>
      </c>
      <c r="F73" s="107">
        <f t="shared" si="14"/>
        <v>0</v>
      </c>
      <c r="G73" s="163"/>
      <c r="H73" s="313"/>
      <c r="I73" s="166">
        <f>+'Provider Total Budget by Serv'!D255</f>
        <v>0</v>
      </c>
      <c r="J73" s="163">
        <f t="shared" si="15"/>
        <v>0</v>
      </c>
      <c r="K73" s="213"/>
      <c r="L73" s="313"/>
      <c r="M73" s="788"/>
      <c r="N73" s="787"/>
      <c r="O73" s="421"/>
    </row>
    <row r="74" spans="1:15" s="73" customFormat="1">
      <c r="A74" s="419"/>
      <c r="B74" s="92" t="s">
        <v>25</v>
      </c>
      <c r="C74" s="68"/>
      <c r="D74" s="105"/>
      <c r="E74" s="106">
        <f t="shared" si="13"/>
        <v>0</v>
      </c>
      <c r="F74" s="107">
        <f t="shared" si="14"/>
        <v>0</v>
      </c>
      <c r="G74" s="163"/>
      <c r="H74" s="313"/>
      <c r="I74" s="166">
        <f>+'Provider Total Budget by Serv'!D260</f>
        <v>0</v>
      </c>
      <c r="J74" s="163">
        <f t="shared" si="15"/>
        <v>0</v>
      </c>
      <c r="K74" s="213"/>
      <c r="L74" s="313"/>
      <c r="M74" s="788"/>
      <c r="N74" s="787"/>
      <c r="O74" s="421"/>
    </row>
    <row r="75" spans="1:15" s="73" customFormat="1">
      <c r="A75" s="419"/>
      <c r="B75" s="92" t="s">
        <v>109</v>
      </c>
      <c r="C75" s="68"/>
      <c r="D75" s="105"/>
      <c r="E75" s="106">
        <f t="shared" si="13"/>
        <v>0</v>
      </c>
      <c r="F75" s="107">
        <f t="shared" si="14"/>
        <v>0</v>
      </c>
      <c r="G75" s="163"/>
      <c r="H75" s="313"/>
      <c r="I75" s="166">
        <f>+'Provider Total Budget by Serv'!D265</f>
        <v>0</v>
      </c>
      <c r="J75" s="163">
        <f t="shared" si="15"/>
        <v>0</v>
      </c>
      <c r="K75" s="213"/>
      <c r="L75" s="313"/>
      <c r="M75" s="788"/>
      <c r="N75" s="787"/>
      <c r="O75" s="421"/>
    </row>
    <row r="76" spans="1:15" s="73" customFormat="1">
      <c r="A76" s="419"/>
      <c r="B76" s="92" t="s">
        <v>17</v>
      </c>
      <c r="C76" s="68"/>
      <c r="D76" s="105"/>
      <c r="E76" s="106">
        <f t="shared" si="13"/>
        <v>0</v>
      </c>
      <c r="F76" s="107">
        <f t="shared" si="14"/>
        <v>0</v>
      </c>
      <c r="G76" s="163"/>
      <c r="H76" s="313"/>
      <c r="I76" s="166">
        <f>+'Provider Total Budget by Serv'!D270</f>
        <v>0</v>
      </c>
      <c r="J76" s="163">
        <f t="shared" si="15"/>
        <v>0</v>
      </c>
      <c r="K76" s="213"/>
      <c r="L76" s="313"/>
      <c r="M76" s="788"/>
      <c r="N76" s="787"/>
      <c r="O76" s="421"/>
    </row>
    <row r="77" spans="1:15" s="73" customFormat="1">
      <c r="A77" s="419"/>
      <c r="B77" s="93" t="s">
        <v>108</v>
      </c>
      <c r="C77" s="69"/>
      <c r="D77" s="341"/>
      <c r="E77" s="342">
        <f t="shared" si="13"/>
        <v>0</v>
      </c>
      <c r="F77" s="343">
        <f t="shared" si="14"/>
        <v>0</v>
      </c>
      <c r="G77" s="161"/>
      <c r="H77" s="313"/>
      <c r="I77" s="167">
        <f>+'Provider Total Budget by Serv'!D275</f>
        <v>0</v>
      </c>
      <c r="J77" s="161">
        <f t="shared" si="15"/>
        <v>0</v>
      </c>
      <c r="K77" s="214"/>
      <c r="L77" s="313"/>
      <c r="M77" s="788"/>
      <c r="N77" s="787"/>
      <c r="O77" s="421"/>
    </row>
    <row r="78" spans="1:15" s="73" customFormat="1">
      <c r="A78" s="419"/>
      <c r="B78" s="93" t="s">
        <v>1</v>
      </c>
      <c r="C78" s="75">
        <f>SUM(C64:C77)</f>
        <v>0</v>
      </c>
      <c r="D78" s="344">
        <f>SUM(D64:D77)</f>
        <v>0</v>
      </c>
      <c r="E78" s="342">
        <f t="shared" si="13"/>
        <v>0</v>
      </c>
      <c r="F78" s="345">
        <f t="shared" si="14"/>
        <v>0</v>
      </c>
      <c r="G78" s="161">
        <f>IF(AND(C78&gt;0,C$80&gt;0),+C78/C$80,0)</f>
        <v>0</v>
      </c>
      <c r="H78" s="313"/>
      <c r="I78" s="363">
        <f>SUM(I64:I77)</f>
        <v>0</v>
      </c>
      <c r="J78" s="161">
        <f t="shared" si="15"/>
        <v>0</v>
      </c>
      <c r="K78" s="347" t="e">
        <f>IF(AND(I78&gt;0,I$80&gt;0),+I78/I$80,0)</f>
        <v>#DIV/0!</v>
      </c>
      <c r="L78" s="313"/>
      <c r="M78" s="788"/>
      <c r="N78" s="787"/>
      <c r="O78" s="421"/>
    </row>
    <row r="79" spans="1:15" s="73" customFormat="1" ht="13">
      <c r="A79" s="420"/>
      <c r="B79" s="727" t="s">
        <v>1</v>
      </c>
      <c r="C79" s="727"/>
      <c r="D79" s="727"/>
      <c r="E79" s="727"/>
      <c r="F79" s="727"/>
      <c r="G79" s="792"/>
      <c r="H79" s="313"/>
      <c r="I79" s="348"/>
      <c r="J79" s="364"/>
      <c r="K79" s="350"/>
      <c r="L79" s="313"/>
      <c r="M79" s="351"/>
      <c r="N79" s="351"/>
      <c r="O79" s="421"/>
    </row>
    <row r="80" spans="1:15" s="73" customFormat="1">
      <c r="A80" s="419"/>
      <c r="B80" s="94" t="s">
        <v>28</v>
      </c>
      <c r="C80" s="77">
        <f>+C16+C22+C27+C35+C41+C52+C62+C78</f>
        <v>0</v>
      </c>
      <c r="D80" s="77">
        <f>+D16+D22+D27+D35+D41+D52+D62+D78</f>
        <v>0</v>
      </c>
      <c r="E80" s="77">
        <f>+D80-C80</f>
        <v>0</v>
      </c>
      <c r="F80" s="157">
        <f>IF(+C80+D80=0,0,(IF(AND(+C80=0,D80&gt;0),1,(IF(AND(+C80&gt;0,D80=0),-1,+C80/+D80-1)))))</f>
        <v>0</v>
      </c>
      <c r="G80" s="365">
        <f>IF(AND(C80&gt;0,C$80&gt;0),+C80/C$80,0)</f>
        <v>0</v>
      </c>
      <c r="H80" s="313"/>
      <c r="I80" s="169" t="e">
        <f>+I16+I22+I27+I35+I41+I52+I62+I78</f>
        <v>#DIV/0!</v>
      </c>
      <c r="J80" s="80" t="e">
        <f>IF(I80+C80=0,0,(IF(AND(I80=0,C80&gt;0),-1,(IF(AND(I80&gt;0,C80=0),1,+I80/C80-1)))))</f>
        <v>#DIV/0!</v>
      </c>
      <c r="K80" s="346" t="e">
        <f>IF(AND(I80&gt;0,I$80&gt;0),+I80/I$80,0)</f>
        <v>#DIV/0!</v>
      </c>
      <c r="L80" s="313"/>
      <c r="M80" s="852"/>
      <c r="N80" s="853"/>
      <c r="O80" s="421"/>
    </row>
    <row r="81" spans="1:16" s="73" customFormat="1" ht="12.75" customHeight="1">
      <c r="A81" s="419"/>
      <c r="B81" s="94" t="s">
        <v>220</v>
      </c>
      <c r="C81" s="173"/>
      <c r="D81" s="95"/>
      <c r="E81" s="160"/>
      <c r="F81" s="156"/>
      <c r="G81" s="218"/>
      <c r="H81" s="156"/>
      <c r="I81" s="366" t="s">
        <v>5</v>
      </c>
      <c r="J81" s="367"/>
      <c r="K81" s="368"/>
      <c r="L81" s="313"/>
      <c r="M81" s="70"/>
      <c r="N81" s="70"/>
      <c r="O81" s="421"/>
    </row>
    <row r="82" spans="1:16" s="73" customFormat="1" ht="12.75" customHeight="1">
      <c r="A82" s="421"/>
      <c r="B82" s="94" t="s">
        <v>221</v>
      </c>
      <c r="C82" s="77">
        <f>IF(C81=0,0,+C80/C81)</f>
        <v>0</v>
      </c>
      <c r="D82" s="77">
        <f>IF(D81=0,0,+D80/D81)</f>
        <v>0</v>
      </c>
      <c r="E82" s="369"/>
      <c r="F82" s="370"/>
      <c r="G82" s="370"/>
      <c r="H82" s="370"/>
      <c r="I82" s="170"/>
      <c r="J82" s="158"/>
      <c r="K82" s="215"/>
      <c r="L82" s="109"/>
      <c r="M82" s="109"/>
      <c r="N82" s="70"/>
      <c r="O82" s="421"/>
    </row>
    <row r="83" spans="1:16" s="73" customFormat="1" ht="12.75" customHeight="1">
      <c r="A83" s="420"/>
      <c r="B83" s="94" t="s">
        <v>238</v>
      </c>
      <c r="C83" s="371">
        <f>+D83</f>
        <v>0</v>
      </c>
      <c r="D83" s="372"/>
      <c r="E83" s="373"/>
      <c r="G83" s="232"/>
      <c r="I83" s="171"/>
      <c r="J83" s="159"/>
      <c r="K83" s="216"/>
      <c r="L83" s="70"/>
      <c r="M83" s="70"/>
      <c r="N83" s="70"/>
      <c r="O83" s="421"/>
    </row>
    <row r="84" spans="1:16" s="73" customFormat="1">
      <c r="A84" s="430"/>
      <c r="B84" s="94" t="s">
        <v>239</v>
      </c>
      <c r="C84" s="371">
        <f>+D84</f>
        <v>0</v>
      </c>
      <c r="D84" s="372"/>
      <c r="F84" s="374"/>
      <c r="G84" s="232"/>
      <c r="I84" s="375"/>
      <c r="J84" s="376"/>
      <c r="K84" s="83"/>
      <c r="L84" s="70"/>
      <c r="M84" s="70"/>
      <c r="N84" s="70"/>
      <c r="O84" s="421"/>
    </row>
    <row r="85" spans="1:16" s="73" customFormat="1">
      <c r="A85" s="420"/>
      <c r="B85" s="263"/>
      <c r="C85" s="377"/>
      <c r="D85" s="378"/>
      <c r="F85" s="370"/>
      <c r="G85" s="379"/>
      <c r="H85" s="379"/>
      <c r="I85" s="171"/>
      <c r="J85" s="181"/>
      <c r="K85" s="216"/>
      <c r="L85" s="70"/>
      <c r="M85" s="70"/>
      <c r="N85" s="70"/>
      <c r="O85" s="421"/>
    </row>
    <row r="86" spans="1:16" s="164" customFormat="1" ht="13">
      <c r="A86" s="431"/>
      <c r="B86" s="380"/>
      <c r="C86" s="79"/>
      <c r="D86" s="381"/>
      <c r="E86" s="382"/>
      <c r="F86" s="383"/>
      <c r="G86" s="219"/>
      <c r="H86" s="78"/>
      <c r="I86" s="384"/>
      <c r="K86" s="385"/>
      <c r="M86" s="78"/>
      <c r="N86" s="87"/>
      <c r="O86" s="423"/>
    </row>
    <row r="87" spans="1:16" s="386" customFormat="1" ht="27" customHeight="1">
      <c r="A87" s="432"/>
      <c r="B87" s="790" t="s">
        <v>66</v>
      </c>
      <c r="C87" s="791"/>
      <c r="D87" s="791"/>
      <c r="E87" s="791"/>
      <c r="F87" s="387" t="s">
        <v>70</v>
      </c>
      <c r="G87" s="220"/>
      <c r="I87" s="388" t="s">
        <v>69</v>
      </c>
      <c r="J87" s="389" t="s">
        <v>68</v>
      </c>
      <c r="K87" s="390"/>
      <c r="O87" s="424"/>
    </row>
    <row r="88" spans="1:16" s="73" customFormat="1" ht="12.75" customHeight="1">
      <c r="A88" s="421"/>
      <c r="B88" s="783" t="s">
        <v>427</v>
      </c>
      <c r="C88" s="789"/>
      <c r="D88" s="789"/>
      <c r="E88" s="789"/>
      <c r="F88" s="391"/>
      <c r="G88" s="221"/>
      <c r="I88" s="392">
        <f>IF(F89+F90+F91=0,'Unit Rate Calculation HDM'!F29,'Unit Rate Calculation HDM'!F35)</f>
        <v>0</v>
      </c>
      <c r="J88" s="393">
        <f>+F88*I88</f>
        <v>0</v>
      </c>
      <c r="K88" s="842" t="s">
        <v>71</v>
      </c>
      <c r="L88" s="841"/>
      <c r="M88" s="799"/>
      <c r="N88" s="70"/>
      <c r="O88" s="425"/>
      <c r="P88" s="70"/>
    </row>
    <row r="89" spans="1:16" s="73" customFormat="1" ht="12.75" customHeight="1">
      <c r="A89" s="421"/>
      <c r="B89" s="783" t="s">
        <v>422</v>
      </c>
      <c r="C89" s="784"/>
      <c r="D89" s="784"/>
      <c r="E89" s="784"/>
      <c r="F89" s="394"/>
      <c r="G89" s="221"/>
      <c r="I89" s="392">
        <f>+'Unit Rate Calculation HDM'!F35</f>
        <v>0</v>
      </c>
      <c r="J89" s="393">
        <f>+F89*I89</f>
        <v>0</v>
      </c>
      <c r="K89" s="842" t="s">
        <v>71</v>
      </c>
      <c r="L89" s="841"/>
      <c r="M89" s="799"/>
      <c r="N89" s="70"/>
      <c r="O89" s="425"/>
      <c r="P89" s="70"/>
    </row>
    <row r="90" spans="1:16" s="73" customFormat="1" ht="12.75" customHeight="1">
      <c r="A90" s="421"/>
      <c r="B90" s="797" t="s">
        <v>403</v>
      </c>
      <c r="C90" s="798"/>
      <c r="D90" s="798"/>
      <c r="E90" s="798"/>
      <c r="F90" s="662"/>
      <c r="G90" s="221"/>
      <c r="I90" s="392">
        <f>IF(F90&gt;0,+'Unit Rate Calculation HDM'!H35,0)</f>
        <v>0</v>
      </c>
      <c r="J90" s="393">
        <f>+F90*I90</f>
        <v>0</v>
      </c>
      <c r="K90" s="842" t="s">
        <v>71</v>
      </c>
      <c r="L90" s="841"/>
      <c r="M90" s="799"/>
      <c r="N90" s="70"/>
      <c r="O90" s="425"/>
      <c r="P90" s="70"/>
    </row>
    <row r="91" spans="1:16" s="73" customFormat="1" ht="12.75" hidden="1" customHeight="1">
      <c r="A91" s="421"/>
      <c r="B91" s="800" t="s">
        <v>329</v>
      </c>
      <c r="C91" s="801"/>
      <c r="D91" s="801"/>
      <c r="E91" s="795"/>
      <c r="F91" s="395"/>
      <c r="G91" s="221"/>
      <c r="I91" s="392"/>
      <c r="J91" s="393"/>
      <c r="K91" s="842" t="s">
        <v>71</v>
      </c>
      <c r="L91" s="841"/>
      <c r="M91" s="799"/>
      <c r="N91" s="70"/>
      <c r="O91" s="425"/>
      <c r="P91" s="70"/>
    </row>
    <row r="92" spans="1:16" s="73" customFormat="1" ht="12.75" customHeight="1">
      <c r="A92" s="421"/>
      <c r="B92" s="799" t="s">
        <v>38</v>
      </c>
      <c r="C92" s="784"/>
      <c r="D92" s="784"/>
      <c r="E92" s="784"/>
      <c r="F92" s="394"/>
      <c r="G92" s="221"/>
      <c r="I92" s="392">
        <f>+'Unit Rate Calculation HDM'!K18</f>
        <v>0</v>
      </c>
      <c r="J92" s="393">
        <f>+F92*I92</f>
        <v>0</v>
      </c>
      <c r="K92" s="842" t="s">
        <v>71</v>
      </c>
      <c r="L92" s="841"/>
      <c r="M92" s="799"/>
      <c r="N92" s="70"/>
      <c r="O92" s="425"/>
      <c r="P92" s="70"/>
    </row>
    <row r="93" spans="1:16" s="73" customFormat="1" ht="12.75" customHeight="1">
      <c r="A93" s="421"/>
      <c r="B93" s="783" t="s">
        <v>410</v>
      </c>
      <c r="C93" s="784"/>
      <c r="D93" s="784"/>
      <c r="E93" s="784"/>
      <c r="F93" s="394"/>
      <c r="G93" s="221"/>
      <c r="I93" s="392">
        <f>+'Unit Rate Calculation HDM'!K18</f>
        <v>0</v>
      </c>
      <c r="J93" s="393">
        <f>+F93*I93</f>
        <v>0</v>
      </c>
      <c r="K93" s="842" t="s">
        <v>71</v>
      </c>
      <c r="L93" s="841"/>
      <c r="M93" s="799"/>
      <c r="N93" s="70"/>
      <c r="O93" s="425"/>
      <c r="P93" s="70"/>
    </row>
    <row r="94" spans="1:16" s="73" customFormat="1" ht="12.75" customHeight="1">
      <c r="A94" s="421"/>
      <c r="B94" s="799" t="s">
        <v>107</v>
      </c>
      <c r="C94" s="784"/>
      <c r="D94" s="784"/>
      <c r="E94" s="784"/>
      <c r="F94" s="394"/>
      <c r="G94" s="221"/>
      <c r="I94" s="392">
        <f>+'Unit Rate Calculation HDM'!K18</f>
        <v>0</v>
      </c>
      <c r="J94" s="393">
        <f>+F94*I94</f>
        <v>0</v>
      </c>
      <c r="K94" s="842" t="s">
        <v>71</v>
      </c>
      <c r="L94" s="841"/>
      <c r="M94" s="799"/>
      <c r="N94" s="70"/>
      <c r="O94" s="425"/>
      <c r="P94" s="70"/>
    </row>
    <row r="95" spans="1:16" s="73" customFormat="1" ht="12.75" customHeight="1">
      <c r="A95" s="421"/>
      <c r="B95" s="799" t="s">
        <v>67</v>
      </c>
      <c r="C95" s="784"/>
      <c r="D95" s="784"/>
      <c r="E95" s="784"/>
      <c r="F95" s="671" t="s">
        <v>72</v>
      </c>
      <c r="G95" s="221"/>
      <c r="I95" s="392">
        <f>+'Unit Rate Calculation HDM'!F28</f>
        <v>0</v>
      </c>
      <c r="J95" s="393">
        <f>(+F88+F89)*I95</f>
        <v>0</v>
      </c>
      <c r="K95" s="840" t="s">
        <v>429</v>
      </c>
      <c r="L95" s="841"/>
      <c r="M95" s="799"/>
      <c r="N95" s="70"/>
      <c r="O95" s="425"/>
      <c r="P95" s="70"/>
    </row>
    <row r="96" spans="1:16" s="73" customFormat="1" ht="12.75" customHeight="1">
      <c r="A96" s="421"/>
      <c r="B96" s="783" t="s">
        <v>428</v>
      </c>
      <c r="C96" s="784"/>
      <c r="D96" s="784"/>
      <c r="E96" s="784"/>
      <c r="F96" s="396" t="s">
        <v>72</v>
      </c>
      <c r="G96" s="221"/>
      <c r="I96" s="392">
        <f>-'Unit Rate Calculation HDM'!F33</f>
        <v>0</v>
      </c>
      <c r="J96" s="393">
        <f>IF(F89=0,0,(+F88+F89)*I96)</f>
        <v>0</v>
      </c>
      <c r="K96" s="840" t="s">
        <v>429</v>
      </c>
      <c r="L96" s="841"/>
      <c r="M96" s="799"/>
      <c r="N96" s="70"/>
      <c r="O96" s="425"/>
      <c r="P96" s="70"/>
    </row>
    <row r="97" spans="1:16" s="73" customFormat="1" ht="12.75" customHeight="1">
      <c r="A97" s="421"/>
      <c r="B97" s="795" t="s">
        <v>331</v>
      </c>
      <c r="C97" s="784"/>
      <c r="D97" s="784"/>
      <c r="E97" s="784"/>
      <c r="F97" s="396" t="s">
        <v>72</v>
      </c>
      <c r="G97" s="221"/>
      <c r="I97" s="392">
        <f>-'Unit Rate Calculation HDM'!H33</f>
        <v>0</v>
      </c>
      <c r="J97" s="393">
        <f>+F90*I97</f>
        <v>0</v>
      </c>
      <c r="K97" s="843" t="s">
        <v>424</v>
      </c>
      <c r="L97" s="784"/>
      <c r="M97" s="784"/>
      <c r="N97" s="70"/>
      <c r="O97" s="425"/>
      <c r="P97" s="70"/>
    </row>
    <row r="98" spans="1:16" s="164" customFormat="1" ht="12.75" customHeight="1">
      <c r="A98" s="433"/>
      <c r="B98" s="792" t="s">
        <v>202</v>
      </c>
      <c r="C98" s="796"/>
      <c r="D98" s="796"/>
      <c r="E98" s="796"/>
      <c r="F98" s="397">
        <f>SUM(F88:F94)</f>
        <v>0</v>
      </c>
      <c r="G98" s="222"/>
      <c r="I98" s="398"/>
      <c r="J98" s="399">
        <f>SUM(J88:J97)</f>
        <v>0</v>
      </c>
      <c r="K98" s="726"/>
      <c r="L98" s="838"/>
      <c r="M98" s="839"/>
      <c r="N98" s="84"/>
      <c r="O98" s="426"/>
      <c r="P98" s="84"/>
    </row>
    <row r="99" spans="1:16" s="164" customFormat="1" ht="12.75" customHeight="1">
      <c r="A99" s="433"/>
      <c r="B99" s="792" t="s">
        <v>201</v>
      </c>
      <c r="C99" s="796"/>
      <c r="D99" s="796"/>
      <c r="E99" s="796"/>
      <c r="F99" s="400">
        <f>+'Provider Total Budget by Serv'!D294</f>
        <v>0</v>
      </c>
      <c r="G99" s="223"/>
      <c r="H99" s="401"/>
      <c r="I99" s="402"/>
      <c r="J99" s="401"/>
      <c r="K99" s="403"/>
      <c r="N99" s="401"/>
      <c r="O99" s="423"/>
      <c r="P99" s="84"/>
    </row>
    <row r="100" spans="1:16" s="164" customFormat="1" ht="25.5" customHeight="1">
      <c r="A100" s="433"/>
      <c r="B100" s="792" t="s">
        <v>325</v>
      </c>
      <c r="C100" s="796"/>
      <c r="D100" s="796"/>
      <c r="E100" s="796"/>
      <c r="F100" s="404">
        <f>+F99-F98</f>
        <v>0</v>
      </c>
      <c r="G100" s="223"/>
      <c r="H100" s="401"/>
      <c r="I100" s="402"/>
      <c r="J100" s="405"/>
      <c r="K100" s="405"/>
      <c r="N100" s="401"/>
      <c r="O100" s="423"/>
      <c r="P100" s="84"/>
    </row>
    <row r="101" spans="1:16" s="164" customFormat="1" ht="12.75" customHeight="1">
      <c r="A101" s="433"/>
      <c r="B101" s="112"/>
      <c r="C101" s="112"/>
      <c r="D101" s="112"/>
      <c r="F101" s="405"/>
      <c r="G101" s="223"/>
      <c r="H101" s="401"/>
      <c r="I101" s="402"/>
      <c r="J101" s="401"/>
      <c r="K101" s="405"/>
      <c r="N101" s="401"/>
      <c r="O101" s="423"/>
      <c r="P101" s="84"/>
    </row>
    <row r="102" spans="1:16" s="164" customFormat="1" ht="12.75" customHeight="1">
      <c r="A102" s="434"/>
      <c r="B102" s="783" t="s">
        <v>224</v>
      </c>
      <c r="C102" s="794"/>
      <c r="D102" s="794"/>
      <c r="E102" s="794"/>
      <c r="F102" s="660"/>
      <c r="G102" s="224"/>
      <c r="H102" s="86"/>
      <c r="I102" s="172"/>
      <c r="J102" s="87"/>
      <c r="K102" s="634"/>
      <c r="L102" s="88"/>
      <c r="M102" s="88"/>
      <c r="N102" s="87"/>
      <c r="O102" s="427"/>
    </row>
    <row r="103" spans="1:16" s="164" customFormat="1" ht="12.75" customHeight="1">
      <c r="A103" s="417"/>
      <c r="B103" s="793" t="s">
        <v>225</v>
      </c>
      <c r="C103" s="794"/>
      <c r="D103" s="794"/>
      <c r="E103" s="794"/>
      <c r="F103" s="661" t="e">
        <f>+'Provider Total Budget by Serv'!E278*'Provider Total Budget by Serv'!D303</f>
        <v>#DIV/0!</v>
      </c>
      <c r="G103" s="225"/>
      <c r="H103" s="87"/>
      <c r="I103" s="172"/>
      <c r="J103" s="87"/>
      <c r="K103" s="634"/>
      <c r="L103" s="89"/>
      <c r="M103" s="89"/>
      <c r="N103" s="87"/>
      <c r="O103" s="427"/>
    </row>
    <row r="104" spans="1:16" s="164" customFormat="1" ht="12.75" customHeight="1">
      <c r="A104" s="435"/>
      <c r="B104" s="793" t="s">
        <v>117</v>
      </c>
      <c r="C104" s="794"/>
      <c r="D104" s="794"/>
      <c r="E104" s="794"/>
      <c r="F104" s="661">
        <f>IF(F102&gt;0,+F103/F102,0)</f>
        <v>0</v>
      </c>
      <c r="G104" s="225"/>
      <c r="H104" s="87"/>
      <c r="I104" s="172"/>
      <c r="J104" s="87"/>
      <c r="K104" s="217"/>
      <c r="L104" s="89"/>
      <c r="M104" s="89"/>
      <c r="N104" s="87"/>
      <c r="O104" s="428"/>
    </row>
    <row r="105" spans="1:16">
      <c r="B105" s="406"/>
      <c r="C105" s="277"/>
      <c r="D105" s="277"/>
      <c r="F105" s="407"/>
      <c r="L105" s="248"/>
      <c r="M105" s="248"/>
      <c r="N105" s="248"/>
    </row>
    <row r="106" spans="1:16">
      <c r="F106" s="248"/>
      <c r="G106" s="220"/>
      <c r="H106" s="248"/>
      <c r="L106" s="248"/>
      <c r="M106" s="248"/>
      <c r="N106" s="248"/>
    </row>
    <row r="107" spans="1:16">
      <c r="D107" s="652"/>
      <c r="E107" s="658"/>
      <c r="F107" s="659"/>
      <c r="G107" s="220"/>
      <c r="H107" s="248"/>
      <c r="L107" s="248"/>
      <c r="M107" s="248"/>
      <c r="N107" s="248"/>
    </row>
    <row r="108" spans="1:16">
      <c r="E108" s="658"/>
      <c r="F108" s="248"/>
      <c r="G108" s="220"/>
      <c r="H108" s="248"/>
      <c r="L108" s="248"/>
      <c r="M108" s="410"/>
      <c r="N108" s="248"/>
    </row>
    <row r="109" spans="1:16">
      <c r="E109" s="658"/>
      <c r="F109" s="248"/>
      <c r="G109" s="220"/>
      <c r="H109" s="248"/>
      <c r="L109" s="248"/>
      <c r="M109" s="248"/>
      <c r="N109" s="248"/>
    </row>
    <row r="110" spans="1:16">
      <c r="F110" s="248"/>
      <c r="G110" s="220"/>
      <c r="H110" s="248"/>
      <c r="L110" s="248"/>
      <c r="M110" s="248"/>
      <c r="N110" s="248"/>
    </row>
    <row r="111" spans="1:16">
      <c r="F111" s="248"/>
      <c r="G111" s="220"/>
      <c r="H111" s="248"/>
      <c r="L111" s="248"/>
      <c r="M111" s="248"/>
      <c r="N111" s="248"/>
    </row>
    <row r="112" spans="1:16">
      <c r="F112" s="248"/>
      <c r="G112" s="220"/>
      <c r="H112" s="248"/>
      <c r="L112" s="248"/>
      <c r="M112" s="248"/>
      <c r="N112" s="248"/>
    </row>
    <row r="113" spans="6:14">
      <c r="F113" s="248"/>
      <c r="G113" s="220"/>
      <c r="H113" s="248"/>
      <c r="L113" s="248"/>
      <c r="M113" s="248"/>
      <c r="N113" s="248"/>
    </row>
    <row r="114" spans="6:14">
      <c r="F114" s="248"/>
      <c r="G114" s="220"/>
      <c r="H114" s="248"/>
      <c r="L114" s="248"/>
      <c r="M114" s="248"/>
      <c r="N114" s="248"/>
    </row>
    <row r="115" spans="6:14">
      <c r="F115" s="248"/>
      <c r="G115" s="220"/>
      <c r="H115" s="248"/>
      <c r="L115" s="248"/>
      <c r="M115" s="248"/>
      <c r="N115" s="248"/>
    </row>
    <row r="116" spans="6:14">
      <c r="F116" s="248"/>
      <c r="G116" s="220"/>
      <c r="H116" s="248"/>
      <c r="L116" s="248"/>
      <c r="M116" s="248"/>
      <c r="N116" s="248"/>
    </row>
    <row r="117" spans="6:14">
      <c r="F117" s="248"/>
      <c r="G117" s="220"/>
      <c r="H117" s="248"/>
      <c r="L117" s="248"/>
      <c r="M117" s="248"/>
      <c r="N117" s="248"/>
    </row>
    <row r="118" spans="6:14">
      <c r="F118" s="248"/>
      <c r="G118" s="220"/>
      <c r="H118" s="248"/>
      <c r="L118" s="248"/>
      <c r="M118" s="248"/>
      <c r="N118" s="248"/>
    </row>
    <row r="119" spans="6:14">
      <c r="F119" s="248"/>
      <c r="G119" s="220"/>
      <c r="H119" s="248"/>
      <c r="L119" s="248"/>
      <c r="M119" s="248"/>
      <c r="N119" s="248"/>
    </row>
    <row r="120" spans="6:14">
      <c r="F120" s="248"/>
      <c r="G120" s="220"/>
      <c r="H120" s="248"/>
      <c r="L120" s="248"/>
      <c r="M120" s="248"/>
      <c r="N120" s="248"/>
    </row>
    <row r="121" spans="6:14">
      <c r="F121" s="248"/>
      <c r="G121" s="220"/>
      <c r="H121" s="248"/>
      <c r="L121" s="248"/>
      <c r="M121" s="248"/>
      <c r="N121" s="248"/>
    </row>
    <row r="122" spans="6:14">
      <c r="F122" s="248"/>
      <c r="G122" s="220"/>
      <c r="H122" s="248"/>
      <c r="L122" s="248"/>
      <c r="M122" s="248"/>
      <c r="N122" s="248"/>
    </row>
    <row r="123" spans="6:14">
      <c r="F123" s="248"/>
      <c r="G123" s="220"/>
      <c r="H123" s="248"/>
      <c r="L123" s="248"/>
      <c r="M123" s="248"/>
      <c r="N123" s="248"/>
    </row>
    <row r="124" spans="6:14">
      <c r="F124" s="248"/>
      <c r="G124" s="220"/>
      <c r="H124" s="248"/>
      <c r="L124" s="248"/>
      <c r="M124" s="248"/>
      <c r="N124" s="248"/>
    </row>
  </sheetData>
  <sheetProtection formatCells="0" formatColumns="0" formatRows="0"/>
  <customSheetViews>
    <customSheetView guid="{DDFE7685-90A4-42DC-AFD9-89B5EC30420E}" scale="70" showPageBreaks="1" printArea="1" hiddenRows="1" topLeftCell="C1">
      <selection activeCell="R53" sqref="R53"/>
      <rowBreaks count="3" manualBreakCount="3">
        <brk id="52" max="15" man="1"/>
        <brk id="85" max="15" man="1"/>
        <brk id="395" max="16383" man="1"/>
      </rowBreaks>
      <colBreaks count="1" manualBreakCount="1">
        <brk id="17" max="1048575" man="1"/>
      </colBreaks>
      <pageMargins left="0.45" right="0.45" top="0.5" bottom="0.5" header="0.3" footer="0.3"/>
      <pageSetup paperSize="5" scale="54" fitToHeight="0" orientation="landscape" r:id="rId1"/>
    </customSheetView>
  </customSheetViews>
  <mergeCells count="71">
    <mergeCell ref="B1:N1"/>
    <mergeCell ref="K92:M92"/>
    <mergeCell ref="K91:M91"/>
    <mergeCell ref="K90:M90"/>
    <mergeCell ref="K89:M89"/>
    <mergeCell ref="K88:M88"/>
    <mergeCell ref="I9:I12"/>
    <mergeCell ref="J9:J12"/>
    <mergeCell ref="B6:B7"/>
    <mergeCell ref="C6:C7"/>
    <mergeCell ref="M80:N80"/>
    <mergeCell ref="M29:N35"/>
    <mergeCell ref="M37:N41"/>
    <mergeCell ref="M43:N52"/>
    <mergeCell ref="M54:N62"/>
    <mergeCell ref="M64:N78"/>
    <mergeCell ref="K98:M98"/>
    <mergeCell ref="K96:M96"/>
    <mergeCell ref="K95:M95"/>
    <mergeCell ref="K94:M94"/>
    <mergeCell ref="K93:M93"/>
    <mergeCell ref="K97:M97"/>
    <mergeCell ref="B23:G23"/>
    <mergeCell ref="K9:K12"/>
    <mergeCell ref="M5:N5"/>
    <mergeCell ref="M8:N8"/>
    <mergeCell ref="M12:N12"/>
    <mergeCell ref="B13:G13"/>
    <mergeCell ref="B17:G17"/>
    <mergeCell ref="C5:G5"/>
    <mergeCell ref="D6:G7"/>
    <mergeCell ref="C8:G8"/>
    <mergeCell ref="I5:K5"/>
    <mergeCell ref="I6:K7"/>
    <mergeCell ref="B9:B12"/>
    <mergeCell ref="M14:N16"/>
    <mergeCell ref="M18:N22"/>
    <mergeCell ref="I2:N4"/>
    <mergeCell ref="M6:N7"/>
    <mergeCell ref="G9:G12"/>
    <mergeCell ref="C9:C12"/>
    <mergeCell ref="D9:D12"/>
    <mergeCell ref="E9:E12"/>
    <mergeCell ref="F9:F12"/>
    <mergeCell ref="C2:G2"/>
    <mergeCell ref="C3:G3"/>
    <mergeCell ref="C4:G4"/>
    <mergeCell ref="B104:E104"/>
    <mergeCell ref="B97:E97"/>
    <mergeCell ref="B98:E98"/>
    <mergeCell ref="B90:E90"/>
    <mergeCell ref="B95:E95"/>
    <mergeCell ref="B96:E96"/>
    <mergeCell ref="B93:E93"/>
    <mergeCell ref="B103:E103"/>
    <mergeCell ref="B94:E94"/>
    <mergeCell ref="B91:E91"/>
    <mergeCell ref="B99:E99"/>
    <mergeCell ref="B100:E100"/>
    <mergeCell ref="B102:E102"/>
    <mergeCell ref="B92:E92"/>
    <mergeCell ref="B89:E89"/>
    <mergeCell ref="B28:G28"/>
    <mergeCell ref="M24:N27"/>
    <mergeCell ref="B88:E88"/>
    <mergeCell ref="B87:E87"/>
    <mergeCell ref="B36:G36"/>
    <mergeCell ref="B42:G42"/>
    <mergeCell ref="B53:G53"/>
    <mergeCell ref="B63:G63"/>
    <mergeCell ref="B79:G79"/>
  </mergeCells>
  <conditionalFormatting sqref="K41">
    <cfRule type="cellIs" dxfId="8" priority="6" stopIfTrue="1" operator="greaterThan">
      <formula>0.05</formula>
    </cfRule>
  </conditionalFormatting>
  <conditionalFormatting sqref="K16">
    <cfRule type="cellIs" dxfId="7" priority="4" stopIfTrue="1" operator="greaterThan">
      <formula>0.5</formula>
    </cfRule>
  </conditionalFormatting>
  <conditionalFormatting sqref="K27">
    <cfRule type="cellIs" dxfId="6" priority="3" stopIfTrue="1" operator="greaterThan">
      <formula>0.03</formula>
    </cfRule>
  </conditionalFormatting>
  <conditionalFormatting sqref="K78">
    <cfRule type="cellIs" dxfId="5" priority="2" stopIfTrue="1" operator="greaterThan">
      <formula>0.15</formula>
    </cfRule>
  </conditionalFormatting>
  <conditionalFormatting sqref="K35">
    <cfRule type="cellIs" dxfId="4" priority="1" stopIfTrue="1" operator="between">
      <formula>0%</formula>
      <formula>30%</formula>
    </cfRule>
  </conditionalFormatting>
  <dataValidations xWindow="886" yWindow="541" count="6">
    <dataValidation type="whole" allowBlank="1" showInputMessage="1" showErrorMessage="1" sqref="F88:F94" xr:uid="{00000000-0002-0000-0400-000000000000}">
      <formula1>0</formula1>
      <formula2>15000000</formula2>
    </dataValidation>
    <dataValidation type="decimal" allowBlank="1" showInputMessage="1" showErrorMessage="1" sqref="C80:D84" xr:uid="{00000000-0002-0000-0400-000001000000}">
      <formula1>0</formula1>
      <formula2>9999999999.99</formula2>
    </dataValidation>
    <dataValidation type="whole" allowBlank="1" showInputMessage="1" showErrorMessage="1" sqref="F102" xr:uid="{00000000-0002-0000-0400-000002000000}">
      <formula1>0</formula1>
      <formula2>9999999999999</formula2>
    </dataValidation>
    <dataValidation allowBlank="1" showInputMessage="1" showErrorMessage="1" promptTitle="Review Alert" prompt="If the percentage of the meal cost applied to the cost area is outside of the expected range for the cost area, the cell will be highlighted in red. Additional review should be conducted to verify cost area budget is accurate." sqref="K78 K16 K27 K35" xr:uid="{00000000-0002-0000-0400-000003000000}"/>
    <dataValidation type="decimal" allowBlank="1" showInputMessage="1" showErrorMessage="1" sqref="J15 K14:K15 C14:D15 D18:D21 C18:C19 I14:I15 I18:K19" xr:uid="{00000000-0002-0000-0400-000004000000}">
      <formula1>0</formula1>
      <formula2>150000000</formula2>
    </dataValidation>
    <dataValidation type="decimal" allowBlank="1" showInputMessage="1" showErrorMessage="1" sqref="K54:K61 C64:D77 C37:D40 C43:D51 C54:D61 C24:D26 C20:C21 C29:D34 K43:K51 K37:K40 K29:K34 K24:K26 K20:K21 I20:I21 I24:I26 I29:I34 I37:I40 I43:I51 I54:I61 I64:I77 K64:K77" xr:uid="{00000000-0002-0000-0400-000005000000}">
      <formula1>0</formula1>
      <formula2>15000000</formula2>
    </dataValidation>
  </dataValidations>
  <pageMargins left="0.45" right="0.45" top="0.5" bottom="0.5" header="0.3" footer="0.3"/>
  <pageSetup paperSize="5" scale="54" fitToHeight="0" orientation="landscape" r:id="rId2"/>
  <rowBreaks count="3" manualBreakCount="3">
    <brk id="52" max="15" man="1"/>
    <brk id="85" max="15" man="1"/>
    <brk id="395" max="16383" man="1"/>
  </rowBreaks>
  <colBreaks count="1" manualBreakCount="1">
    <brk id="16" max="1048575" man="1"/>
  </colBreaks>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tabColor rgb="FF7030A0"/>
    <pageSetUpPr fitToPage="1"/>
  </sheetPr>
  <dimension ref="B1:N49"/>
  <sheetViews>
    <sheetView showGridLines="0" zoomScaleNormal="100" workbookViewId="0">
      <selection activeCell="G37" sqref="G37:J37"/>
    </sheetView>
  </sheetViews>
  <sheetFormatPr defaultRowHeight="12.5"/>
  <cols>
    <col min="1" max="1" width="6.26953125" customWidth="1"/>
    <col min="3" max="3" width="17.453125" customWidth="1"/>
    <col min="4" max="4" width="4.54296875" customWidth="1"/>
    <col min="5" max="5" width="19.453125" customWidth="1"/>
    <col min="6" max="6" width="6" customWidth="1"/>
    <col min="7" max="7" width="5.81640625" customWidth="1"/>
    <col min="8" max="8" width="13.453125" customWidth="1"/>
    <col min="13" max="13" width="11.81640625" customWidth="1"/>
  </cols>
  <sheetData>
    <row r="1" spans="2:14">
      <c r="C1" s="607">
        <f ca="1">NOW()</f>
        <v>45380.323058564813</v>
      </c>
    </row>
    <row r="2" spans="2:14" ht="15.5">
      <c r="B2" s="574"/>
      <c r="C2" s="273" t="s">
        <v>26</v>
      </c>
      <c r="D2" s="779">
        <f>+'Provider Information'!F6</f>
        <v>0</v>
      </c>
      <c r="E2" s="780"/>
      <c r="F2" s="780"/>
      <c r="G2" s="780"/>
      <c r="H2" s="780"/>
      <c r="I2" s="9"/>
    </row>
    <row r="3" spans="2:14" ht="15.5">
      <c r="B3" s="571"/>
      <c r="C3" s="572" t="s">
        <v>388</v>
      </c>
      <c r="D3" s="779">
        <f>+'Provider Information'!D21</f>
        <v>0</v>
      </c>
      <c r="E3" s="779"/>
      <c r="F3" s="779"/>
      <c r="G3" s="779"/>
      <c r="H3" s="779"/>
      <c r="I3" s="779"/>
    </row>
    <row r="4" spans="2:14" ht="15.5">
      <c r="B4" s="571"/>
      <c r="C4" s="641" t="s">
        <v>389</v>
      </c>
      <c r="D4" s="778">
        <f>+'Provider Information'!E26</f>
        <v>0</v>
      </c>
      <c r="E4" s="778"/>
      <c r="F4" s="778"/>
      <c r="G4" s="778"/>
      <c r="H4" s="778"/>
      <c r="I4" s="604"/>
    </row>
    <row r="5" spans="2:14" ht="28.5" customHeight="1">
      <c r="B5" s="857" t="s">
        <v>246</v>
      </c>
      <c r="C5" s="857"/>
      <c r="D5" s="857"/>
      <c r="E5" s="857"/>
      <c r="F5" s="857"/>
      <c r="G5" s="857"/>
      <c r="H5" s="857"/>
      <c r="I5" s="857"/>
      <c r="J5" s="857"/>
      <c r="K5" s="857"/>
    </row>
    <row r="6" spans="2:14" ht="18.75" customHeight="1">
      <c r="B6" s="866" t="s">
        <v>79</v>
      </c>
      <c r="C6" s="866"/>
      <c r="D6" s="866"/>
      <c r="E6" s="866"/>
      <c r="F6" s="866"/>
      <c r="G6" s="866"/>
      <c r="H6" s="866"/>
      <c r="I6" s="866"/>
      <c r="J6" s="866"/>
      <c r="K6" s="866"/>
    </row>
    <row r="7" spans="2:14" ht="17.5">
      <c r="B7" s="863"/>
      <c r="C7" s="863"/>
      <c r="D7" s="863"/>
      <c r="E7" s="863"/>
      <c r="F7" s="647"/>
      <c r="G7" s="864"/>
      <c r="H7" s="865"/>
      <c r="I7" s="865"/>
      <c r="J7" s="865"/>
      <c r="K7" s="865"/>
    </row>
    <row r="8" spans="2:14" ht="24" customHeight="1">
      <c r="B8" s="45" t="s">
        <v>80</v>
      </c>
      <c r="C8" s="46"/>
      <c r="D8" s="46"/>
      <c r="E8" s="46"/>
      <c r="F8" s="46"/>
      <c r="G8" s="46"/>
      <c r="H8" s="46"/>
      <c r="I8" s="47"/>
      <c r="J8" s="46"/>
      <c r="K8" s="48"/>
      <c r="L8" s="59"/>
    </row>
    <row r="9" spans="2:14" ht="15">
      <c r="B9" s="49"/>
      <c r="K9" s="50"/>
      <c r="L9" s="59"/>
    </row>
    <row r="10" spans="2:14" ht="23.15" customHeight="1">
      <c r="B10" s="51" t="s">
        <v>81</v>
      </c>
      <c r="C10" s="52" t="s">
        <v>82</v>
      </c>
      <c r="K10" s="50"/>
      <c r="L10" s="59"/>
    </row>
    <row r="11" spans="2:14" ht="16.5">
      <c r="B11" s="51"/>
      <c r="C11" s="52"/>
      <c r="K11" s="50"/>
      <c r="L11" s="59"/>
    </row>
    <row r="12" spans="2:14" ht="16.5">
      <c r="B12" s="51" t="s">
        <v>81</v>
      </c>
      <c r="C12" s="52" t="s">
        <v>83</v>
      </c>
      <c r="K12" s="50"/>
      <c r="L12" s="59"/>
    </row>
    <row r="13" spans="2:14" ht="16.5">
      <c r="B13" s="51"/>
      <c r="C13" s="52"/>
      <c r="K13" s="50"/>
      <c r="L13" s="59"/>
      <c r="N13" s="244"/>
    </row>
    <row r="14" spans="2:14" ht="16.5">
      <c r="B14" s="51" t="s">
        <v>81</v>
      </c>
      <c r="C14" s="52" t="s">
        <v>84</v>
      </c>
      <c r="K14" s="50"/>
      <c r="L14" s="59"/>
    </row>
    <row r="15" spans="2:14" ht="16.5">
      <c r="B15" s="51" t="s">
        <v>5</v>
      </c>
      <c r="C15" s="52" t="s">
        <v>85</v>
      </c>
      <c r="D15" s="40"/>
      <c r="K15" s="50"/>
      <c r="L15" s="59"/>
    </row>
    <row r="16" spans="2:14" ht="16.5">
      <c r="B16" s="51" t="s">
        <v>5</v>
      </c>
      <c r="C16" s="52" t="s">
        <v>86</v>
      </c>
      <c r="D16" s="40"/>
      <c r="K16" s="50"/>
      <c r="L16" s="59"/>
    </row>
    <row r="17" spans="2:13" ht="16.5">
      <c r="B17" s="51"/>
      <c r="C17" s="52"/>
      <c r="K17" s="50"/>
      <c r="L17" s="59"/>
    </row>
    <row r="18" spans="2:13" ht="16.5">
      <c r="B18" s="51" t="s">
        <v>81</v>
      </c>
      <c r="C18" s="52" t="s">
        <v>87</v>
      </c>
      <c r="K18" s="50"/>
      <c r="L18" s="59"/>
    </row>
    <row r="19" spans="2:13" ht="16.5">
      <c r="B19" s="53" t="s">
        <v>5</v>
      </c>
      <c r="C19" s="52" t="s">
        <v>88</v>
      </c>
      <c r="D19" s="40"/>
      <c r="K19" s="50"/>
      <c r="L19" s="59"/>
    </row>
    <row r="20" spans="2:13" ht="16.5">
      <c r="B20" s="53"/>
      <c r="C20" s="52"/>
      <c r="D20" s="40"/>
      <c r="K20" s="50"/>
      <c r="L20" s="59"/>
    </row>
    <row r="21" spans="2:13" ht="16.5">
      <c r="B21" s="51" t="s">
        <v>81</v>
      </c>
      <c r="C21" s="52" t="s">
        <v>118</v>
      </c>
      <c r="D21" s="40"/>
      <c r="K21" s="50"/>
      <c r="L21" s="59"/>
    </row>
    <row r="22" spans="2:13" ht="16.5">
      <c r="B22" s="53" t="s">
        <v>5</v>
      </c>
      <c r="C22" s="52" t="s">
        <v>119</v>
      </c>
      <c r="D22" s="40"/>
      <c r="K22" s="50"/>
      <c r="L22" s="59"/>
    </row>
    <row r="23" spans="2:13" ht="16.5">
      <c r="B23" s="59"/>
      <c r="C23" s="52" t="s">
        <v>120</v>
      </c>
      <c r="D23" s="40"/>
      <c r="K23" s="50"/>
      <c r="L23" s="59"/>
    </row>
    <row r="24" spans="2:13" ht="16.5">
      <c r="B24" s="51"/>
      <c r="C24" s="52"/>
      <c r="D24" s="40"/>
      <c r="K24" s="50"/>
      <c r="L24" s="59"/>
    </row>
    <row r="25" spans="2:13" ht="16.5">
      <c r="B25" s="53"/>
      <c r="C25" s="52"/>
      <c r="D25" s="40"/>
      <c r="K25" s="50"/>
      <c r="L25" s="59"/>
    </row>
    <row r="26" spans="2:13" ht="16.5">
      <c r="B26" s="59"/>
      <c r="C26" s="52"/>
      <c r="K26" s="50"/>
      <c r="L26" s="59"/>
    </row>
    <row r="27" spans="2:13">
      <c r="B27" s="65"/>
      <c r="C27" s="5"/>
      <c r="D27" s="5"/>
      <c r="E27" s="5"/>
      <c r="F27" s="5"/>
      <c r="G27" s="5"/>
      <c r="H27" s="5"/>
      <c r="I27" s="5"/>
      <c r="J27" s="5"/>
      <c r="K27" s="54"/>
      <c r="L27" s="59"/>
    </row>
    <row r="28" spans="2:13" ht="15">
      <c r="B28" s="43"/>
    </row>
    <row r="29" spans="2:13" ht="29.25" customHeight="1">
      <c r="B29" s="55" t="s">
        <v>89</v>
      </c>
      <c r="C29" s="56" t="s">
        <v>90</v>
      </c>
      <c r="D29" s="56"/>
      <c r="E29" s="46"/>
      <c r="F29" s="46"/>
      <c r="G29" s="46"/>
      <c r="H29" s="46"/>
      <c r="I29" s="46"/>
      <c r="J29" s="46"/>
      <c r="K29" s="48"/>
      <c r="L29" s="59"/>
      <c r="M29" s="63"/>
    </row>
    <row r="30" spans="2:13" ht="17.25" customHeight="1">
      <c r="B30" s="57"/>
      <c r="C30" s="58" t="s">
        <v>91</v>
      </c>
      <c r="D30" s="58"/>
      <c r="K30" s="50"/>
      <c r="L30" s="59"/>
      <c r="M30" s="39"/>
    </row>
    <row r="31" spans="2:13" ht="17.25" customHeight="1">
      <c r="B31" s="59"/>
      <c r="C31" s="58" t="s">
        <v>92</v>
      </c>
      <c r="D31" s="58"/>
      <c r="K31" s="50"/>
      <c r="L31" s="59"/>
    </row>
    <row r="32" spans="2:13" ht="17.25" customHeight="1">
      <c r="B32" s="57"/>
      <c r="C32" s="58" t="s">
        <v>93</v>
      </c>
      <c r="D32" s="58"/>
      <c r="K32" s="50"/>
      <c r="L32" s="59"/>
    </row>
    <row r="33" spans="2:12" ht="17.25" customHeight="1">
      <c r="B33" s="57"/>
      <c r="C33" s="40" t="s">
        <v>94</v>
      </c>
      <c r="D33" s="40"/>
      <c r="K33" s="50"/>
      <c r="L33" s="59"/>
    </row>
    <row r="34" spans="2:12" ht="17.25" customHeight="1">
      <c r="B34" s="60"/>
      <c r="C34" s="40" t="s">
        <v>95</v>
      </c>
      <c r="D34" s="40"/>
      <c r="K34" s="50"/>
      <c r="L34" s="59"/>
    </row>
    <row r="35" spans="2:12" ht="17.25" customHeight="1">
      <c r="B35" s="57"/>
      <c r="C35" s="40" t="s">
        <v>96</v>
      </c>
      <c r="D35" s="40"/>
      <c r="K35" s="50"/>
      <c r="L35" s="59"/>
    </row>
    <row r="36" spans="2:12" ht="17.25" customHeight="1">
      <c r="B36" s="61"/>
      <c r="C36" s="62" t="s">
        <v>97</v>
      </c>
      <c r="D36" s="62"/>
      <c r="E36" s="5"/>
      <c r="F36" s="5"/>
      <c r="G36" s="5"/>
      <c r="H36" s="5"/>
      <c r="I36" s="5"/>
      <c r="J36" s="5"/>
      <c r="K36" s="54"/>
      <c r="L36" s="59"/>
    </row>
    <row r="37" spans="2:12" ht="62.25" customHeight="1">
      <c r="C37" s="855">
        <f>'Provider Information'!$F$6</f>
        <v>0</v>
      </c>
      <c r="D37" s="855"/>
      <c r="E37" s="855"/>
      <c r="F37" s="40"/>
      <c r="G37" s="856"/>
      <c r="H37" s="856"/>
      <c r="I37" s="856"/>
      <c r="J37" s="856"/>
    </row>
    <row r="38" spans="2:12" ht="12" customHeight="1">
      <c r="C38" s="867" t="s">
        <v>98</v>
      </c>
      <c r="D38" s="867"/>
      <c r="E38" s="867"/>
      <c r="F38" s="41"/>
      <c r="G38" s="854" t="s">
        <v>34</v>
      </c>
      <c r="H38" s="854"/>
      <c r="I38" s="854"/>
      <c r="J38" s="854"/>
    </row>
    <row r="39" spans="2:12">
      <c r="B39" s="41"/>
    </row>
    <row r="40" spans="2:12">
      <c r="B40" s="41"/>
      <c r="C40" s="858"/>
      <c r="D40" s="859"/>
      <c r="E40" s="859"/>
      <c r="G40" s="861"/>
      <c r="H40" s="861"/>
      <c r="I40" s="861"/>
      <c r="J40" s="861"/>
    </row>
    <row r="41" spans="2:12" ht="15">
      <c r="C41" s="860"/>
      <c r="D41" s="860"/>
      <c r="E41" s="860"/>
      <c r="F41" s="40"/>
      <c r="G41" s="862"/>
      <c r="H41" s="862"/>
      <c r="I41" s="862"/>
      <c r="J41" s="862"/>
    </row>
    <row r="42" spans="2:12">
      <c r="C42" s="854" t="s">
        <v>36</v>
      </c>
      <c r="D42" s="854"/>
      <c r="E42" s="854"/>
      <c r="F42" s="42"/>
      <c r="G42" s="854" t="s">
        <v>35</v>
      </c>
      <c r="H42" s="854"/>
      <c r="I42" s="854"/>
      <c r="J42" s="854"/>
    </row>
    <row r="43" spans="2:12">
      <c r="B43" s="41"/>
    </row>
    <row r="44" spans="2:12">
      <c r="B44" s="41"/>
    </row>
    <row r="45" spans="2:12">
      <c r="B45" s="41"/>
    </row>
    <row r="46" spans="2:12" ht="15">
      <c r="C46" s="41" t="s">
        <v>99</v>
      </c>
      <c r="D46" s="43"/>
      <c r="E46" s="44" t="s">
        <v>100</v>
      </c>
      <c r="F46" s="43"/>
      <c r="G46" s="44" t="s">
        <v>101</v>
      </c>
      <c r="H46" s="44"/>
      <c r="I46" s="44"/>
    </row>
    <row r="47" spans="2:12" ht="15">
      <c r="C47" s="41" t="s">
        <v>102</v>
      </c>
      <c r="D47" s="43"/>
      <c r="E47" s="41" t="s">
        <v>103</v>
      </c>
      <c r="F47" s="43"/>
      <c r="G47" s="44" t="s">
        <v>104</v>
      </c>
      <c r="H47" s="44"/>
      <c r="I47" s="44"/>
    </row>
    <row r="48" spans="2:12" ht="15">
      <c r="D48" s="43"/>
      <c r="E48" s="44" t="s">
        <v>105</v>
      </c>
      <c r="F48" s="43"/>
      <c r="G48" s="44" t="s">
        <v>106</v>
      </c>
      <c r="H48" s="44"/>
      <c r="I48" s="44"/>
    </row>
    <row r="49" spans="2:2">
      <c r="B49" s="41"/>
    </row>
  </sheetData>
  <sheetProtection formatCells="0" formatColumns="0" formatRows="0"/>
  <customSheetViews>
    <customSheetView guid="{DDFE7685-90A4-42DC-AFD9-89B5EC30420E}" showPageBreaks="1" showGridLines="0" fitToPage="1" printArea="1" topLeftCell="A4">
      <selection activeCell="F75" sqref="F75"/>
      <pageMargins left="0.39" right="0.23" top="0.68" bottom="0.6" header="0.5" footer="0.5"/>
      <pageSetup paperSize="5" scale="97" orientation="portrait" r:id="rId1"/>
      <headerFooter alignWithMargins="0"/>
    </customSheetView>
    <customSheetView guid="{77E975B4-E38D-4535-BE87-54788ABB15EB}" fitToPage="1" showRuler="0" topLeftCell="A19">
      <selection activeCell="B25" sqref="B25:D25"/>
      <pageMargins left="0.39" right="0.23" top="0.68" bottom="0.6" header="0.5" footer="0.5"/>
      <pageSetup orientation="portrait" r:id="rId2"/>
      <headerFooter alignWithMargins="0"/>
    </customSheetView>
  </customSheetViews>
  <mergeCells count="15">
    <mergeCell ref="D2:H2"/>
    <mergeCell ref="C42:E42"/>
    <mergeCell ref="G42:J42"/>
    <mergeCell ref="C37:E37"/>
    <mergeCell ref="G37:J37"/>
    <mergeCell ref="B5:K5"/>
    <mergeCell ref="C40:E41"/>
    <mergeCell ref="G40:J41"/>
    <mergeCell ref="B7:E7"/>
    <mergeCell ref="G7:K7"/>
    <mergeCell ref="B6:K6"/>
    <mergeCell ref="C38:E38"/>
    <mergeCell ref="G38:J38"/>
    <mergeCell ref="D3:I3"/>
    <mergeCell ref="D4:H4"/>
  </mergeCells>
  <phoneticPr fontId="0" type="noConversion"/>
  <pageMargins left="0.39" right="0.23" top="0.68" bottom="0.6" header="0.5" footer="0.5"/>
  <pageSetup paperSize="5" scale="97" orientation="portrait" r:id="rId3"/>
  <headerFooter alignWithMargins="0"/>
  <drawing r:id="rId4"/>
  <legacyDrawing r:id="rId5"/>
  <controls>
    <mc:AlternateContent xmlns:mc="http://schemas.openxmlformats.org/markup-compatibility/2006">
      <mc:Choice Requires="x14">
        <control shapeId="1031" r:id="rId6" name="CheckBox1">
          <controlPr autoLine="0" r:id="rId7">
            <anchor moveWithCells="1">
              <from>
                <xdr:col>3</xdr:col>
                <xdr:colOff>50800</xdr:colOff>
                <xdr:row>45</xdr:row>
                <xdr:rowOff>12700</xdr:rowOff>
              </from>
              <to>
                <xdr:col>3</xdr:col>
                <xdr:colOff>285750</xdr:colOff>
                <xdr:row>46</xdr:row>
                <xdr:rowOff>50800</xdr:rowOff>
              </to>
            </anchor>
          </controlPr>
        </control>
      </mc:Choice>
      <mc:Fallback>
        <control shapeId="1031" r:id="rId6" name="CheckBox1"/>
      </mc:Fallback>
    </mc:AlternateContent>
    <mc:AlternateContent xmlns:mc="http://schemas.openxmlformats.org/markup-compatibility/2006">
      <mc:Choice Requires="x14">
        <control shapeId="1030" r:id="rId8" name="CheckBox7">
          <controlPr autoLine="0" r:id="rId9">
            <anchor moveWithCells="1">
              <from>
                <xdr:col>5</xdr:col>
                <xdr:colOff>88900</xdr:colOff>
                <xdr:row>47</xdr:row>
                <xdr:rowOff>38100</xdr:rowOff>
              </from>
              <to>
                <xdr:col>5</xdr:col>
                <xdr:colOff>323850</xdr:colOff>
                <xdr:row>48</xdr:row>
                <xdr:rowOff>38100</xdr:rowOff>
              </to>
            </anchor>
          </controlPr>
        </control>
      </mc:Choice>
      <mc:Fallback>
        <control shapeId="1030" r:id="rId8" name="CheckBox7"/>
      </mc:Fallback>
    </mc:AlternateContent>
    <mc:AlternateContent xmlns:mc="http://schemas.openxmlformats.org/markup-compatibility/2006">
      <mc:Choice Requires="x14">
        <control shapeId="1029" r:id="rId10" name="CheckBox6">
          <controlPr autoLine="0" r:id="rId9">
            <anchor moveWithCells="1">
              <from>
                <xdr:col>5</xdr:col>
                <xdr:colOff>88900</xdr:colOff>
                <xdr:row>46</xdr:row>
                <xdr:rowOff>12700</xdr:rowOff>
              </from>
              <to>
                <xdr:col>5</xdr:col>
                <xdr:colOff>323850</xdr:colOff>
                <xdr:row>47</xdr:row>
                <xdr:rowOff>12700</xdr:rowOff>
              </to>
            </anchor>
          </controlPr>
        </control>
      </mc:Choice>
      <mc:Fallback>
        <control shapeId="1029" r:id="rId10" name="CheckBox6"/>
      </mc:Fallback>
    </mc:AlternateContent>
    <mc:AlternateContent xmlns:mc="http://schemas.openxmlformats.org/markup-compatibility/2006">
      <mc:Choice Requires="x14">
        <control shapeId="1028" r:id="rId11" name="CheckBox5">
          <controlPr autoLine="0" r:id="rId7">
            <anchor moveWithCells="1">
              <from>
                <xdr:col>5</xdr:col>
                <xdr:colOff>88900</xdr:colOff>
                <xdr:row>45</xdr:row>
                <xdr:rowOff>0</xdr:rowOff>
              </from>
              <to>
                <xdr:col>5</xdr:col>
                <xdr:colOff>323850</xdr:colOff>
                <xdr:row>46</xdr:row>
                <xdr:rowOff>38100</xdr:rowOff>
              </to>
            </anchor>
          </controlPr>
        </control>
      </mc:Choice>
      <mc:Fallback>
        <control shapeId="1028" r:id="rId11" name="CheckBox5"/>
      </mc:Fallback>
    </mc:AlternateContent>
    <mc:AlternateContent xmlns:mc="http://schemas.openxmlformats.org/markup-compatibility/2006">
      <mc:Choice Requires="x14">
        <control shapeId="1027" r:id="rId12" name="CheckBox4">
          <controlPr autoLine="0" r:id="rId9">
            <anchor moveWithCells="1">
              <from>
                <xdr:col>3</xdr:col>
                <xdr:colOff>50800</xdr:colOff>
                <xdr:row>46</xdr:row>
                <xdr:rowOff>38100</xdr:rowOff>
              </from>
              <to>
                <xdr:col>3</xdr:col>
                <xdr:colOff>285750</xdr:colOff>
                <xdr:row>47</xdr:row>
                <xdr:rowOff>38100</xdr:rowOff>
              </to>
            </anchor>
          </controlPr>
        </control>
      </mc:Choice>
      <mc:Fallback>
        <control shapeId="1027" r:id="rId12" name="CheckBox4"/>
      </mc:Fallback>
    </mc:AlternateContent>
    <mc:AlternateContent xmlns:mc="http://schemas.openxmlformats.org/markup-compatibility/2006">
      <mc:Choice Requires="x14">
        <control shapeId="1026" r:id="rId13" name="CheckBox3">
          <controlPr autoLine="0" r:id="rId9">
            <anchor moveWithCells="1">
              <from>
                <xdr:col>3</xdr:col>
                <xdr:colOff>50800</xdr:colOff>
                <xdr:row>47</xdr:row>
                <xdr:rowOff>38100</xdr:rowOff>
              </from>
              <to>
                <xdr:col>3</xdr:col>
                <xdr:colOff>285750</xdr:colOff>
                <xdr:row>48</xdr:row>
                <xdr:rowOff>38100</xdr:rowOff>
              </to>
            </anchor>
          </controlPr>
        </control>
      </mc:Choice>
      <mc:Fallback>
        <control shapeId="1026" r:id="rId13" name="CheckBox3"/>
      </mc:Fallback>
    </mc:AlternateContent>
    <mc:AlternateContent xmlns:mc="http://schemas.openxmlformats.org/markup-compatibility/2006">
      <mc:Choice Requires="x14">
        <control shapeId="1025" r:id="rId14" name="CheckBox2">
          <controlPr autoLine="0" r:id="rId7">
            <anchor moveWithCells="1">
              <from>
                <xdr:col>5</xdr:col>
                <xdr:colOff>88900</xdr:colOff>
                <xdr:row>44</xdr:row>
                <xdr:rowOff>152400</xdr:rowOff>
              </from>
              <to>
                <xdr:col>5</xdr:col>
                <xdr:colOff>323850</xdr:colOff>
                <xdr:row>46</xdr:row>
                <xdr:rowOff>31750</xdr:rowOff>
              </to>
            </anchor>
          </controlPr>
        </control>
      </mc:Choice>
      <mc:Fallback>
        <control shapeId="1025" r:id="rId14" name="CheckBox2"/>
      </mc:Fallback>
    </mc:AlternateContent>
  </control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7030A0"/>
    <pageSetUpPr fitToPage="1"/>
  </sheetPr>
  <dimension ref="B1:K119"/>
  <sheetViews>
    <sheetView showGridLines="0" topLeftCell="A21" zoomScale="80" zoomScaleNormal="80" workbookViewId="0">
      <selection activeCell="J32" sqref="J32"/>
    </sheetView>
  </sheetViews>
  <sheetFormatPr defaultColWidth="9.1796875" defaultRowHeight="12.5"/>
  <cols>
    <col min="2" max="2" width="2.54296875" customWidth="1"/>
    <col min="3" max="3" width="19.81640625" customWidth="1"/>
    <col min="4" max="4" width="10.54296875" customWidth="1"/>
    <col min="5" max="5" width="14.453125" customWidth="1"/>
    <col min="6" max="6" width="13.7265625" customWidth="1"/>
    <col min="7" max="7" width="16.54296875" customWidth="1"/>
    <col min="8" max="8" width="16.7265625" customWidth="1"/>
    <col min="9" max="9" width="9.453125" customWidth="1"/>
    <col min="10" max="10" width="3.453125" customWidth="1"/>
    <col min="11" max="11" width="14.81640625" customWidth="1"/>
  </cols>
  <sheetData>
    <row r="1" spans="2:11">
      <c r="C1" s="607">
        <f ca="1">NOW()</f>
        <v>45380.323058564813</v>
      </c>
      <c r="D1" s="607"/>
      <c r="E1" s="607"/>
      <c r="F1" s="607"/>
      <c r="G1" s="607"/>
    </row>
    <row r="2" spans="2:11">
      <c r="C2" s="273" t="s">
        <v>26</v>
      </c>
      <c r="D2" s="779">
        <f>+'Provider Information'!F6</f>
        <v>0</v>
      </c>
      <c r="E2" s="780"/>
      <c r="F2" s="780"/>
      <c r="G2" s="780"/>
      <c r="H2" s="780"/>
      <c r="I2" s="9"/>
    </row>
    <row r="3" spans="2:11">
      <c r="C3" s="572" t="s">
        <v>388</v>
      </c>
      <c r="D3" s="779">
        <f>+'Provider Information'!D21</f>
        <v>0</v>
      </c>
      <c r="E3" s="779"/>
      <c r="F3" s="779"/>
      <c r="G3" s="779"/>
      <c r="H3" s="779"/>
      <c r="I3" s="779"/>
    </row>
    <row r="4" spans="2:11">
      <c r="C4" s="641" t="s">
        <v>389</v>
      </c>
      <c r="D4" s="778">
        <f>+'Provider Information'!E26</f>
        <v>0</v>
      </c>
      <c r="E4" s="778"/>
      <c r="F4" s="778"/>
      <c r="G4" s="778"/>
      <c r="H4" s="778"/>
      <c r="I4" s="604"/>
      <c r="J4" s="703"/>
      <c r="K4" s="703"/>
    </row>
    <row r="5" spans="2:11" ht="15.5">
      <c r="B5" s="871" t="s">
        <v>246</v>
      </c>
      <c r="C5" s="871"/>
      <c r="D5" s="871"/>
      <c r="E5" s="871"/>
      <c r="F5" s="871"/>
      <c r="G5" s="871"/>
      <c r="H5" s="871"/>
      <c r="I5" s="871"/>
      <c r="J5" s="871"/>
      <c r="K5" s="871"/>
    </row>
    <row r="6" spans="2:11" ht="15.5">
      <c r="B6" s="871" t="s">
        <v>74</v>
      </c>
      <c r="C6" s="871"/>
      <c r="D6" s="871"/>
      <c r="E6" s="871"/>
      <c r="F6" s="871"/>
      <c r="G6" s="871"/>
      <c r="H6" s="871"/>
      <c r="I6" s="871"/>
      <c r="J6" s="871"/>
      <c r="K6" s="871"/>
    </row>
    <row r="7" spans="2:11">
      <c r="B7" s="703"/>
      <c r="C7" s="703"/>
      <c r="D7" s="703"/>
      <c r="E7" s="703"/>
      <c r="F7" s="703"/>
      <c r="G7" s="703"/>
      <c r="H7" s="703"/>
      <c r="I7" s="703"/>
      <c r="J7" s="703"/>
      <c r="K7" s="703"/>
    </row>
    <row r="8" spans="2:11">
      <c r="B8" s="872" t="s">
        <v>110</v>
      </c>
      <c r="C8" s="872"/>
      <c r="D8" s="872"/>
      <c r="E8" s="872"/>
      <c r="F8" s="872"/>
      <c r="G8" s="872"/>
      <c r="H8" s="872"/>
      <c r="I8" s="872"/>
      <c r="J8" s="3" t="s">
        <v>0</v>
      </c>
      <c r="K8" s="4" t="e">
        <f>+'Home Delivered Meal Budget'!I80</f>
        <v>#DIV/0!</v>
      </c>
    </row>
    <row r="9" spans="2:11">
      <c r="B9" s="703"/>
      <c r="C9" s="703"/>
      <c r="D9" s="703"/>
      <c r="E9" s="703"/>
      <c r="F9" s="703"/>
      <c r="G9" s="703"/>
      <c r="H9" s="703"/>
      <c r="I9" s="703"/>
      <c r="J9" s="703"/>
      <c r="K9" s="703"/>
    </row>
    <row r="10" spans="2:11">
      <c r="B10" s="872" t="s">
        <v>306</v>
      </c>
      <c r="C10" s="872"/>
      <c r="D10" s="872"/>
      <c r="E10" s="872"/>
      <c r="F10" s="872"/>
      <c r="G10" s="872"/>
      <c r="H10" s="872"/>
      <c r="I10" s="872"/>
      <c r="J10" s="872"/>
      <c r="K10" s="872"/>
    </row>
    <row r="11" spans="2:11">
      <c r="B11" s="703"/>
      <c r="C11" s="703"/>
      <c r="D11" s="703"/>
      <c r="E11" s="703"/>
      <c r="F11" s="703"/>
      <c r="G11" s="703"/>
      <c r="H11" s="703"/>
      <c r="I11" s="703"/>
      <c r="J11" s="703"/>
      <c r="K11" s="703"/>
    </row>
    <row r="12" spans="2:11" ht="39.75" customHeight="1">
      <c r="B12" s="868" t="s">
        <v>431</v>
      </c>
      <c r="C12" s="869"/>
      <c r="D12" s="38">
        <f>+'Home Delivered Meal Budget'!F88</f>
        <v>0</v>
      </c>
      <c r="E12" s="642" t="s">
        <v>30</v>
      </c>
      <c r="F12" s="38">
        <f>+'Home Delivered Meal Budget'!F89</f>
        <v>0</v>
      </c>
      <c r="G12" s="538" t="s">
        <v>330</v>
      </c>
      <c r="H12" s="38">
        <f>+'Home Delivered Meal Budget'!F90+'Home Delivered Meal Budget'!F91</f>
        <v>0</v>
      </c>
      <c r="I12" s="870"/>
      <c r="J12" s="870"/>
      <c r="K12" s="870"/>
    </row>
    <row r="13" spans="2:11">
      <c r="B13" s="870"/>
      <c r="C13" s="870"/>
      <c r="D13" s="870"/>
      <c r="E13" s="870"/>
      <c r="F13" s="870"/>
      <c r="G13" s="870"/>
      <c r="H13" s="870"/>
      <c r="I13" s="870"/>
      <c r="J13" s="870"/>
      <c r="K13" s="870"/>
    </row>
    <row r="14" spans="2:11" ht="25">
      <c r="B14" s="869" t="s">
        <v>38</v>
      </c>
      <c r="C14" s="869"/>
      <c r="D14" s="38">
        <f>+'Home Delivered Meal Budget'!F92</f>
        <v>0</v>
      </c>
      <c r="E14" s="123" t="s">
        <v>404</v>
      </c>
      <c r="F14" s="38">
        <f>+'Home Delivered Meal Budget'!F93</f>
        <v>0</v>
      </c>
      <c r="G14" s="174" t="s">
        <v>307</v>
      </c>
      <c r="H14" s="38">
        <f>+'Home Delivered Meal Budget'!F94</f>
        <v>0</v>
      </c>
      <c r="I14" s="11"/>
      <c r="J14" s="36" t="s">
        <v>2</v>
      </c>
      <c r="K14" s="6">
        <f>IF('Home Delivered Meal Budget'!F98&gt;0,+D12+F12+H12+D14+F14+H14,0)</f>
        <v>0</v>
      </c>
    </row>
    <row r="15" spans="2:11" ht="6" customHeight="1">
      <c r="B15" s="703"/>
      <c r="C15" s="703"/>
      <c r="D15" s="703"/>
      <c r="E15" s="703"/>
      <c r="F15" s="703"/>
      <c r="G15" s="703"/>
      <c r="H15" s="703"/>
      <c r="I15" s="703"/>
      <c r="J15" s="703"/>
      <c r="K15" s="703"/>
    </row>
    <row r="16" spans="2:11" ht="13">
      <c r="B16" s="876"/>
      <c r="C16" s="876"/>
      <c r="D16" s="876"/>
      <c r="E16" s="876"/>
      <c r="F16" s="876"/>
      <c r="G16" s="876"/>
      <c r="H16" s="876"/>
      <c r="I16" s="876"/>
      <c r="J16" s="876"/>
      <c r="K16" s="876"/>
    </row>
    <row r="17" spans="2:11" ht="6.75" customHeight="1">
      <c r="B17" s="703"/>
      <c r="C17" s="703"/>
      <c r="D17" s="703"/>
      <c r="E17" s="703"/>
      <c r="F17" s="703"/>
      <c r="G17" s="703"/>
      <c r="H17" s="703"/>
      <c r="I17" s="703"/>
      <c r="J17" s="703"/>
      <c r="K17" s="703"/>
    </row>
    <row r="18" spans="2:11">
      <c r="B18" s="872" t="s">
        <v>405</v>
      </c>
      <c r="C18" s="872"/>
      <c r="D18" s="872"/>
      <c r="E18" s="872"/>
      <c r="F18" s="872"/>
      <c r="G18" s="875"/>
      <c r="H18" s="872"/>
      <c r="I18" s="872"/>
      <c r="J18" s="3" t="s">
        <v>3</v>
      </c>
      <c r="K18" s="4">
        <f>ROUND(IF(K14=0,0,+K8/K14),2)</f>
        <v>0</v>
      </c>
    </row>
    <row r="19" spans="2:11">
      <c r="B19" s="703"/>
      <c r="C19" s="703"/>
      <c r="D19" s="703"/>
      <c r="E19" s="703"/>
      <c r="F19" s="703"/>
      <c r="G19" s="703"/>
      <c r="H19" s="703"/>
      <c r="I19" s="703"/>
      <c r="J19" s="703"/>
      <c r="K19" s="703"/>
    </row>
    <row r="20" spans="2:11" ht="13">
      <c r="B20" s="874" t="s">
        <v>31</v>
      </c>
      <c r="C20" s="874"/>
      <c r="D20" s="874"/>
      <c r="E20" s="874"/>
      <c r="F20" s="874"/>
      <c r="G20" s="874"/>
      <c r="H20" s="874"/>
      <c r="I20" s="874"/>
      <c r="J20" s="874"/>
      <c r="K20" s="874"/>
    </row>
    <row r="21" spans="2:11" ht="25">
      <c r="B21" s="1"/>
      <c r="C21" s="1"/>
      <c r="D21" s="1"/>
      <c r="E21" s="1"/>
      <c r="F21" s="666" t="s">
        <v>430</v>
      </c>
      <c r="G21" s="64"/>
      <c r="H21" s="538" t="s">
        <v>330</v>
      </c>
    </row>
    <row r="22" spans="2:11">
      <c r="B22" s="872" t="s">
        <v>111</v>
      </c>
      <c r="C22" s="872"/>
      <c r="D22" s="872"/>
      <c r="E22" s="872"/>
      <c r="F22" s="674">
        <v>0.73</v>
      </c>
      <c r="H22" s="7" t="s">
        <v>32</v>
      </c>
      <c r="I22" s="703"/>
      <c r="J22" s="703"/>
      <c r="K22" s="703"/>
    </row>
    <row r="23" spans="2:11">
      <c r="B23" s="703"/>
      <c r="C23" s="703"/>
      <c r="D23" s="703"/>
      <c r="E23" s="703"/>
      <c r="F23" s="703"/>
      <c r="G23" s="703"/>
      <c r="H23" s="703"/>
      <c r="I23" s="703"/>
      <c r="J23" s="703"/>
      <c r="K23" s="703"/>
    </row>
    <row r="24" spans="2:11">
      <c r="B24" s="872" t="s">
        <v>112</v>
      </c>
      <c r="C24" s="872"/>
      <c r="D24" s="872"/>
      <c r="E24" s="872"/>
      <c r="F24" s="4">
        <f>ROUND(IF(K18=0,0,+K18-F22),2)</f>
        <v>0</v>
      </c>
      <c r="H24" s="8" t="s">
        <v>32</v>
      </c>
      <c r="I24" s="703"/>
      <c r="J24" s="703"/>
      <c r="K24" s="703"/>
    </row>
    <row r="25" spans="2:11">
      <c r="B25" s="703"/>
      <c r="C25" s="703"/>
      <c r="D25" s="703"/>
      <c r="E25" s="703"/>
      <c r="F25" s="703"/>
      <c r="G25" s="703"/>
      <c r="H25" s="703"/>
      <c r="I25" s="703"/>
      <c r="J25" s="703"/>
      <c r="K25" s="703"/>
    </row>
    <row r="26" spans="2:11">
      <c r="B26" s="2" t="s">
        <v>113</v>
      </c>
      <c r="C26" s="2"/>
      <c r="D26" s="2"/>
      <c r="E26" s="4">
        <f>ROUND(IF(F24="","",+F24*0.1),2)</f>
        <v>0</v>
      </c>
      <c r="H26" s="1"/>
    </row>
    <row r="27" spans="2:11" ht="39.75" customHeight="1">
      <c r="B27" s="873" t="s">
        <v>114</v>
      </c>
      <c r="C27" s="873"/>
      <c r="D27" s="873"/>
      <c r="E27" s="4">
        <f>-I112</f>
        <v>0</v>
      </c>
      <c r="H27" s="1"/>
    </row>
    <row r="28" spans="2:11" ht="28.5" customHeight="1">
      <c r="B28" s="861" t="s">
        <v>406</v>
      </c>
      <c r="C28" s="861"/>
      <c r="D28" s="861"/>
      <c r="E28" s="861"/>
      <c r="F28" s="4">
        <f>IF(+E26="",0,+E26+E27)</f>
        <v>0</v>
      </c>
      <c r="G28" s="1"/>
      <c r="H28" s="8" t="s">
        <v>32</v>
      </c>
      <c r="I28" s="1"/>
      <c r="J28" s="1"/>
      <c r="K28" s="1"/>
    </row>
    <row r="29" spans="2:11" ht="28.5" customHeight="1">
      <c r="B29" s="878" t="s">
        <v>115</v>
      </c>
      <c r="C29" s="872"/>
      <c r="D29" s="872"/>
      <c r="E29" s="872"/>
      <c r="F29" s="680">
        <f>ROUND(IF(K18&gt;0,K18-F28,0),2)</f>
        <v>0</v>
      </c>
      <c r="H29" s="680">
        <f>ROUND(IF(K18&gt;0,K18,0),2)</f>
        <v>0</v>
      </c>
      <c r="I29" s="703"/>
      <c r="J29" s="703"/>
      <c r="K29" s="703"/>
    </row>
    <row r="30" spans="2:11" ht="17.25" customHeight="1">
      <c r="B30" s="678"/>
      <c r="C30" s="679" t="s">
        <v>468</v>
      </c>
      <c r="D30" s="2"/>
      <c r="E30" s="2"/>
      <c r="F30" s="118"/>
      <c r="H30" s="118"/>
      <c r="I30" s="1"/>
      <c r="J30" s="1"/>
      <c r="K30" s="1"/>
    </row>
    <row r="31" spans="2:11" ht="33.75" customHeight="1">
      <c r="B31" s="772" t="s">
        <v>432</v>
      </c>
      <c r="C31" s="879"/>
      <c r="D31" s="879"/>
      <c r="E31" s="879"/>
      <c r="F31" s="4">
        <v>6.46</v>
      </c>
      <c r="G31" s="1"/>
      <c r="H31" s="4"/>
      <c r="I31" s="1"/>
      <c r="J31" s="1"/>
      <c r="K31" s="1"/>
    </row>
    <row r="32" spans="2:11">
      <c r="B32" s="1"/>
      <c r="C32" s="1"/>
      <c r="D32" s="1"/>
      <c r="E32" s="1"/>
      <c r="F32" s="1"/>
      <c r="G32" s="1"/>
      <c r="H32" s="1"/>
      <c r="I32" s="1"/>
      <c r="J32" s="1"/>
      <c r="K32" s="1"/>
    </row>
    <row r="33" spans="2:11">
      <c r="B33" s="878" t="s">
        <v>332</v>
      </c>
      <c r="C33" s="872"/>
      <c r="D33" s="872"/>
      <c r="E33" s="872"/>
      <c r="F33" s="4">
        <f>ROUND(IF(+F29&gt;0,(IF(F29&gt;F31,F31-F29,0)),0),2)</f>
        <v>0</v>
      </c>
      <c r="H33" s="4">
        <f>ROUND(IF(+H29&gt;0,(IF(H29&gt;H31,H31-H29,0)),0),2)</f>
        <v>0</v>
      </c>
      <c r="I33" s="703"/>
      <c r="J33" s="703"/>
      <c r="K33" s="703"/>
    </row>
    <row r="34" spans="2:11">
      <c r="B34" s="1"/>
      <c r="C34" s="1"/>
      <c r="D34" s="1"/>
      <c r="E34" s="1"/>
      <c r="F34" s="1"/>
      <c r="G34" s="1"/>
      <c r="H34" s="1"/>
      <c r="I34" s="1"/>
      <c r="J34" s="1"/>
      <c r="K34" s="1"/>
    </row>
    <row r="35" spans="2:11" ht="12.75" customHeight="1">
      <c r="B35" s="880" t="s">
        <v>407</v>
      </c>
      <c r="C35" s="872"/>
      <c r="D35" s="872"/>
      <c r="E35" s="872"/>
      <c r="F35" s="540">
        <f>IF(C113=0,F29,(IF(F31&gt;F29,F29,F31)))</f>
        <v>0</v>
      </c>
      <c r="H35" s="541" t="str">
        <f>IF(C113=0,"NA",(IF(H31&gt;H29,H29,H31)))</f>
        <v>NA</v>
      </c>
      <c r="I35" s="703"/>
      <c r="J35" s="703"/>
      <c r="K35" s="703"/>
    </row>
    <row r="36" spans="2:11">
      <c r="I36" s="703"/>
      <c r="J36" s="703"/>
      <c r="K36" s="703"/>
    </row>
    <row r="38" spans="2:11" ht="13.5" customHeight="1">
      <c r="B38" t="s">
        <v>116</v>
      </c>
    </row>
    <row r="39" spans="2:11" ht="21.75" customHeight="1">
      <c r="C39" t="s">
        <v>240</v>
      </c>
    </row>
    <row r="40" spans="2:11">
      <c r="C40" t="s">
        <v>241</v>
      </c>
    </row>
    <row r="42" spans="2:11" ht="40.5" customHeight="1">
      <c r="C42" s="882">
        <f>'Provider Information'!$F$6</f>
        <v>0</v>
      </c>
      <c r="D42" s="883"/>
      <c r="E42" s="883"/>
      <c r="G42" s="884"/>
      <c r="H42" s="884"/>
      <c r="I42" s="884"/>
    </row>
    <row r="43" spans="2:11">
      <c r="C43" s="877" t="s">
        <v>33</v>
      </c>
      <c r="D43" s="877"/>
      <c r="E43" s="877"/>
      <c r="G43" s="877" t="s">
        <v>34</v>
      </c>
      <c r="H43" s="877"/>
      <c r="I43" s="877"/>
    </row>
    <row r="46" spans="2:11">
      <c r="C46" s="5"/>
      <c r="D46" s="5"/>
      <c r="E46" s="5"/>
      <c r="G46" s="886"/>
      <c r="H46" s="885"/>
      <c r="I46" s="885"/>
    </row>
    <row r="47" spans="2:11">
      <c r="C47" s="877" t="s">
        <v>35</v>
      </c>
      <c r="D47" s="877"/>
      <c r="E47" s="877"/>
      <c r="G47" s="877" t="s">
        <v>36</v>
      </c>
      <c r="H47" s="877"/>
      <c r="I47" s="877"/>
    </row>
    <row r="50" spans="3:9">
      <c r="C50" s="888">
        <f>'Provider Information'!$D$21</f>
        <v>0</v>
      </c>
      <c r="D50" s="888"/>
      <c r="E50" s="888"/>
      <c r="G50" s="881">
        <f>'Provider Information'!$E$26</f>
        <v>0</v>
      </c>
      <c r="H50" s="881"/>
      <c r="I50" s="881"/>
    </row>
    <row r="51" spans="3:9" ht="27" customHeight="1">
      <c r="C51" s="889" t="s">
        <v>37</v>
      </c>
      <c r="D51" s="889"/>
      <c r="E51" s="889"/>
      <c r="G51" s="890" t="s">
        <v>423</v>
      </c>
      <c r="H51" s="889"/>
      <c r="I51" s="889"/>
    </row>
    <row r="52" spans="3:9">
      <c r="G52" s="887"/>
      <c r="H52" s="703"/>
      <c r="I52" s="703"/>
    </row>
    <row r="54" spans="3:9" ht="15.75" customHeight="1">
      <c r="C54" s="881">
        <f>'Provider Information'!$D$22</f>
        <v>0</v>
      </c>
      <c r="D54" s="881"/>
      <c r="E54" s="881"/>
      <c r="G54" s="881" t="str">
        <f>'Provider Information'!$F$25</f>
        <v>NA</v>
      </c>
      <c r="H54" s="881"/>
      <c r="I54" s="881"/>
    </row>
    <row r="55" spans="3:9">
      <c r="C55" s="877" t="s">
        <v>34</v>
      </c>
      <c r="D55" s="877"/>
      <c r="E55" s="877"/>
      <c r="G55" s="877" t="s">
        <v>34</v>
      </c>
      <c r="H55" s="877"/>
      <c r="I55" s="877"/>
    </row>
    <row r="58" spans="3:9">
      <c r="C58" s="5"/>
      <c r="D58" s="5"/>
      <c r="E58" s="5"/>
      <c r="G58" s="5"/>
      <c r="H58" s="5"/>
      <c r="I58" s="5"/>
    </row>
    <row r="59" spans="3:9">
      <c r="C59" s="877" t="s">
        <v>35</v>
      </c>
      <c r="D59" s="877"/>
      <c r="E59" s="877"/>
      <c r="G59" s="877" t="s">
        <v>35</v>
      </c>
      <c r="H59" s="877"/>
      <c r="I59" s="877"/>
    </row>
    <row r="62" spans="3:9">
      <c r="C62" s="885"/>
      <c r="D62" s="885"/>
      <c r="E62" s="885"/>
      <c r="G62" s="885"/>
      <c r="H62" s="885"/>
      <c r="I62" s="885"/>
    </row>
    <row r="63" spans="3:9">
      <c r="C63" s="877" t="s">
        <v>36</v>
      </c>
      <c r="D63" s="877"/>
      <c r="E63" s="877"/>
      <c r="G63" s="877" t="s">
        <v>36</v>
      </c>
      <c r="H63" s="877"/>
      <c r="I63" s="877"/>
    </row>
    <row r="103" spans="3:11" ht="13">
      <c r="C103" s="708" t="s">
        <v>58</v>
      </c>
      <c r="D103" s="708"/>
      <c r="E103" s="708"/>
      <c r="F103" s="708"/>
      <c r="G103" s="708"/>
      <c r="H103" s="708"/>
      <c r="I103" s="708"/>
    </row>
    <row r="104" spans="3:11">
      <c r="C104" t="s">
        <v>59</v>
      </c>
      <c r="I104" s="9">
        <f>+E26</f>
        <v>0</v>
      </c>
    </row>
    <row r="105" spans="3:11">
      <c r="C105" t="s">
        <v>73</v>
      </c>
      <c r="I105" s="6">
        <f>IF(D12+F12=0,K14,+D12+F12)</f>
        <v>0</v>
      </c>
    </row>
    <row r="106" spans="3:11">
      <c r="C106" t="s">
        <v>60</v>
      </c>
      <c r="D106" s="1"/>
      <c r="I106" s="10">
        <f>+I104*I105</f>
        <v>0</v>
      </c>
    </row>
    <row r="107" spans="3:11">
      <c r="C107" t="s">
        <v>61</v>
      </c>
      <c r="I107" s="6">
        <f>+'In-Kind Certification HDM'!G26</f>
        <v>0</v>
      </c>
    </row>
    <row r="108" spans="3:11">
      <c r="C108" t="s">
        <v>62</v>
      </c>
      <c r="I108" s="11">
        <f>+I106-I107</f>
        <v>0</v>
      </c>
    </row>
    <row r="109" spans="3:11">
      <c r="C109" t="s">
        <v>78</v>
      </c>
      <c r="I109" s="6">
        <f>IF(+D12+F12=0,K14,+D12+F12)</f>
        <v>0</v>
      </c>
    </row>
    <row r="110" spans="3:11">
      <c r="C110" t="s">
        <v>64</v>
      </c>
      <c r="I110" s="12">
        <f>IF(I108=0,0,+I108/I109)</f>
        <v>0</v>
      </c>
      <c r="J110" s="1"/>
      <c r="K110" s="1"/>
    </row>
    <row r="111" spans="3:11">
      <c r="C111" t="s">
        <v>63</v>
      </c>
      <c r="I111" s="13">
        <f>+E26</f>
        <v>0</v>
      </c>
    </row>
    <row r="112" spans="3:11">
      <c r="C112" t="s">
        <v>65</v>
      </c>
      <c r="I112" s="9">
        <f>IF(+I110&lt;=0,+I111,+I111-I110)</f>
        <v>0</v>
      </c>
    </row>
    <row r="113" spans="3:9">
      <c r="C113">
        <f>+'Home Delivered Meal Budget'!F89+'Home Delivered Meal Budget'!F90+'Home Delivered Meal Budget'!F91</f>
        <v>0</v>
      </c>
      <c r="I113" s="10"/>
    </row>
    <row r="114" spans="3:9">
      <c r="I114" s="11"/>
    </row>
    <row r="115" spans="3:9">
      <c r="I115" s="11"/>
    </row>
    <row r="116" spans="3:9">
      <c r="I116" s="11"/>
    </row>
    <row r="117" spans="3:9">
      <c r="I117" s="11"/>
    </row>
    <row r="118" spans="3:9">
      <c r="I118" s="11"/>
    </row>
    <row r="119" spans="3:9">
      <c r="I119" s="11"/>
    </row>
  </sheetData>
  <sheetProtection formatCells="0" formatColumns="0" formatRows="0"/>
  <customSheetViews>
    <customSheetView guid="{DDFE7685-90A4-42DC-AFD9-89B5EC30420E}" scale="80" showPageBreaks="1" showGridLines="0" fitToPage="1" printArea="1">
      <selection activeCell="N29" sqref="N29"/>
      <pageMargins left="0.75" right="0.75" top="0.74" bottom="1" header="0.5" footer="0.5"/>
      <pageSetup paperSize="5" scale="10" orientation="portrait" r:id="rId1"/>
      <headerFooter alignWithMargins="0"/>
    </customSheetView>
    <customSheetView guid="{77E975B4-E38D-4535-BE87-54788ABB15EB}" scale="75" showGridLines="0" fitToPage="1" showRuler="0" topLeftCell="A26">
      <selection activeCell="B38" sqref="B38:D38"/>
      <pageMargins left="0.75" right="0.75" top="1" bottom="1" header="0.5" footer="0.5"/>
      <pageSetup scale="83" orientation="portrait" r:id="rId2"/>
      <headerFooter alignWithMargins="0"/>
    </customSheetView>
  </customSheetViews>
  <mergeCells count="60">
    <mergeCell ref="D2:H2"/>
    <mergeCell ref="C47:E47"/>
    <mergeCell ref="G46:I46"/>
    <mergeCell ref="G52:I52"/>
    <mergeCell ref="C50:E50"/>
    <mergeCell ref="G50:I50"/>
    <mergeCell ref="C51:E51"/>
    <mergeCell ref="G51:I51"/>
    <mergeCell ref="G47:I47"/>
    <mergeCell ref="B22:E22"/>
    <mergeCell ref="B23:K23"/>
    <mergeCell ref="B25:K25"/>
    <mergeCell ref="B24:E24"/>
    <mergeCell ref="B28:E28"/>
    <mergeCell ref="I24:K24"/>
    <mergeCell ref="I22:K22"/>
    <mergeCell ref="C103:I103"/>
    <mergeCell ref="C59:E59"/>
    <mergeCell ref="G59:I59"/>
    <mergeCell ref="C63:E63"/>
    <mergeCell ref="G63:I63"/>
    <mergeCell ref="C62:E62"/>
    <mergeCell ref="G62:I62"/>
    <mergeCell ref="C55:E55"/>
    <mergeCell ref="G55:I55"/>
    <mergeCell ref="B29:E29"/>
    <mergeCell ref="B33:E33"/>
    <mergeCell ref="I33:K33"/>
    <mergeCell ref="I29:K29"/>
    <mergeCell ref="B31:E31"/>
    <mergeCell ref="I35:K35"/>
    <mergeCell ref="I36:K36"/>
    <mergeCell ref="B35:E35"/>
    <mergeCell ref="G54:I54"/>
    <mergeCell ref="C54:E54"/>
    <mergeCell ref="C43:E43"/>
    <mergeCell ref="C42:E42"/>
    <mergeCell ref="G42:I42"/>
    <mergeCell ref="G43:I43"/>
    <mergeCell ref="B27:D27"/>
    <mergeCell ref="B19:K19"/>
    <mergeCell ref="B20:K20"/>
    <mergeCell ref="B13:K13"/>
    <mergeCell ref="B15:K15"/>
    <mergeCell ref="B14:C14"/>
    <mergeCell ref="B18:I18"/>
    <mergeCell ref="B16:K16"/>
    <mergeCell ref="B17:K17"/>
    <mergeCell ref="B12:C12"/>
    <mergeCell ref="I12:K12"/>
    <mergeCell ref="D3:I3"/>
    <mergeCell ref="D4:H4"/>
    <mergeCell ref="B6:K6"/>
    <mergeCell ref="J4:K4"/>
    <mergeCell ref="B9:K9"/>
    <mergeCell ref="B10:K10"/>
    <mergeCell ref="B11:K11"/>
    <mergeCell ref="B5:K5"/>
    <mergeCell ref="B7:K7"/>
    <mergeCell ref="B8:I8"/>
  </mergeCells>
  <phoneticPr fontId="0" type="noConversion"/>
  <pageMargins left="0.75" right="0.75" top="0.74" bottom="1" header="0.5" footer="0.5"/>
  <pageSetup paperSize="5" scale="74" orientation="portrait" r:id="rId3"/>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7030A0"/>
    <pageSetUpPr fitToPage="1"/>
  </sheetPr>
  <dimension ref="A1:N51"/>
  <sheetViews>
    <sheetView showGridLines="0" topLeftCell="A39" zoomScaleNormal="100" workbookViewId="0">
      <selection activeCell="K36" sqref="K36"/>
    </sheetView>
  </sheetViews>
  <sheetFormatPr defaultColWidth="9.1796875" defaultRowHeight="14"/>
  <cols>
    <col min="1" max="1" width="6.1796875" style="15" customWidth="1"/>
    <col min="2" max="2" width="11.453125" style="15" customWidth="1"/>
    <col min="3" max="3" width="11" style="15" customWidth="1"/>
    <col min="4" max="4" width="14.1796875" style="15" customWidth="1"/>
    <col min="5" max="5" width="23.7265625" style="15" customWidth="1"/>
    <col min="6" max="6" width="21.26953125" style="15" customWidth="1"/>
    <col min="7" max="7" width="23.453125" style="15" customWidth="1"/>
    <col min="8" max="8" width="3.1796875" style="15" customWidth="1"/>
    <col min="9" max="16384" width="9.1796875" style="15"/>
  </cols>
  <sheetData>
    <row r="1" spans="1:8">
      <c r="B1" s="891">
        <f ca="1">NOW()</f>
        <v>45380.323058564813</v>
      </c>
      <c r="C1" s="891">
        <f ca="1">NOW()</f>
        <v>45380.323058564813</v>
      </c>
    </row>
    <row r="2" spans="1:8">
      <c r="C2" s="572" t="s">
        <v>388</v>
      </c>
      <c r="D2" s="779">
        <f>+'Provider Information'!D21</f>
        <v>0</v>
      </c>
      <c r="E2" s="779"/>
      <c r="F2" s="779"/>
      <c r="G2" s="779"/>
      <c r="H2" s="643"/>
    </row>
    <row r="3" spans="1:8">
      <c r="C3" s="641" t="s">
        <v>389</v>
      </c>
      <c r="D3" s="778">
        <f>+'Provider Information'!E26</f>
        <v>0</v>
      </c>
      <c r="E3" s="778"/>
      <c r="F3" s="778"/>
      <c r="G3" s="778"/>
      <c r="H3" s="604"/>
    </row>
    <row r="4" spans="1:8" ht="17.5">
      <c r="A4" s="175"/>
      <c r="B4" s="866" t="s">
        <v>246</v>
      </c>
      <c r="C4" s="866"/>
      <c r="D4" s="866"/>
      <c r="E4" s="866"/>
      <c r="F4" s="866"/>
      <c r="G4" s="866"/>
      <c r="H4" s="175"/>
    </row>
    <row r="5" spans="1:8">
      <c r="A5" s="906" t="s">
        <v>40</v>
      </c>
      <c r="B5" s="906"/>
      <c r="C5" s="906"/>
      <c r="D5" s="906"/>
      <c r="E5" s="906"/>
      <c r="F5" s="906"/>
      <c r="G5" s="906"/>
      <c r="H5" s="906"/>
    </row>
    <row r="6" spans="1:8" ht="27.75" customHeight="1">
      <c r="B6" s="15" t="s">
        <v>41</v>
      </c>
      <c r="C6" s="907" t="str">
        <f>IF(ISBLANK('Provider Information'!F6),"",+'Provider Information'!F6)</f>
        <v/>
      </c>
      <c r="D6" s="908"/>
      <c r="E6" s="908"/>
    </row>
    <row r="8" spans="1:8">
      <c r="B8" s="909" t="s">
        <v>42</v>
      </c>
      <c r="C8" s="909"/>
      <c r="D8" s="892">
        <f>+G26</f>
        <v>0</v>
      </c>
      <c r="E8" s="893"/>
      <c r="F8" s="31"/>
      <c r="G8" s="176"/>
    </row>
    <row r="10" spans="1:8">
      <c r="B10" s="899" t="s">
        <v>445</v>
      </c>
      <c r="C10" s="899"/>
      <c r="D10" s="899"/>
      <c r="E10" s="899"/>
      <c r="F10" s="899"/>
      <c r="G10" s="899"/>
    </row>
    <row r="11" spans="1:8" ht="14.5" thickBot="1"/>
    <row r="12" spans="1:8" ht="14.5" thickTop="1">
      <c r="B12" s="17"/>
      <c r="C12" s="18"/>
      <c r="D12" s="18"/>
      <c r="E12" s="19"/>
      <c r="F12" s="20"/>
      <c r="G12" s="21"/>
    </row>
    <row r="13" spans="1:8">
      <c r="B13" s="900" t="s">
        <v>43</v>
      </c>
      <c r="C13" s="901"/>
      <c r="D13" s="901"/>
      <c r="E13" s="902"/>
      <c r="F13" s="22" t="s">
        <v>44</v>
      </c>
      <c r="G13" s="23" t="s">
        <v>75</v>
      </c>
    </row>
    <row r="14" spans="1:8" ht="18" customHeight="1">
      <c r="B14" s="903"/>
      <c r="C14" s="904"/>
      <c r="D14" s="904"/>
      <c r="E14" s="905"/>
      <c r="F14" s="37"/>
      <c r="G14" s="35"/>
    </row>
    <row r="15" spans="1:8" ht="18" customHeight="1">
      <c r="B15" s="894"/>
      <c r="C15" s="897"/>
      <c r="D15" s="897"/>
      <c r="E15" s="898"/>
      <c r="F15" s="34"/>
      <c r="G15" s="35"/>
    </row>
    <row r="16" spans="1:8" ht="18" customHeight="1">
      <c r="B16" s="894"/>
      <c r="C16" s="897"/>
      <c r="D16" s="897"/>
      <c r="E16" s="898"/>
      <c r="F16" s="34"/>
      <c r="G16" s="35"/>
    </row>
    <row r="17" spans="2:10" ht="18" customHeight="1">
      <c r="B17" s="894"/>
      <c r="C17" s="897"/>
      <c r="D17" s="897"/>
      <c r="E17" s="898"/>
      <c r="F17" s="34"/>
      <c r="G17" s="35"/>
    </row>
    <row r="18" spans="2:10" ht="18" customHeight="1">
      <c r="B18" s="894"/>
      <c r="C18" s="897"/>
      <c r="D18" s="897"/>
      <c r="E18" s="898"/>
      <c r="F18" s="34"/>
      <c r="G18" s="35"/>
    </row>
    <row r="19" spans="2:10" ht="18" customHeight="1">
      <c r="B19" s="894"/>
      <c r="C19" s="897"/>
      <c r="D19" s="897"/>
      <c r="E19" s="898"/>
      <c r="F19" s="34"/>
      <c r="G19" s="35"/>
    </row>
    <row r="20" spans="2:10" ht="18" customHeight="1">
      <c r="B20" s="894"/>
      <c r="C20" s="897"/>
      <c r="D20" s="897"/>
      <c r="E20" s="898"/>
      <c r="F20" s="34"/>
      <c r="G20" s="35"/>
    </row>
    <row r="21" spans="2:10" ht="18" customHeight="1">
      <c r="B21" s="894"/>
      <c r="C21" s="897"/>
      <c r="D21" s="897"/>
      <c r="E21" s="898"/>
      <c r="F21" s="34"/>
      <c r="G21" s="35"/>
      <c r="J21" s="24"/>
    </row>
    <row r="22" spans="2:10" ht="18" customHeight="1">
      <c r="B22" s="894"/>
      <c r="C22" s="895"/>
      <c r="D22" s="895"/>
      <c r="E22" s="896"/>
      <c r="F22" s="34"/>
      <c r="G22" s="35"/>
    </row>
    <row r="23" spans="2:10" ht="18" customHeight="1">
      <c r="B23" s="894"/>
      <c r="C23" s="897"/>
      <c r="D23" s="897"/>
      <c r="E23" s="898"/>
      <c r="F23" s="34"/>
      <c r="G23" s="35"/>
    </row>
    <row r="24" spans="2:10" ht="18" customHeight="1">
      <c r="B24" s="894"/>
      <c r="C24" s="897"/>
      <c r="D24" s="897"/>
      <c r="E24" s="898"/>
      <c r="F24" s="34"/>
      <c r="G24" s="35"/>
    </row>
    <row r="25" spans="2:10" ht="18" customHeight="1">
      <c r="B25" s="894"/>
      <c r="C25" s="897"/>
      <c r="D25" s="897"/>
      <c r="E25" s="898"/>
      <c r="F25" s="34"/>
      <c r="G25" s="35"/>
    </row>
    <row r="26" spans="2:10" ht="18" customHeight="1" thickBot="1">
      <c r="B26" s="912"/>
      <c r="C26" s="913"/>
      <c r="D26" s="913"/>
      <c r="E26" s="914"/>
      <c r="F26" s="25" t="s">
        <v>45</v>
      </c>
      <c r="G26" s="26">
        <f>SUM(G14:G25)</f>
        <v>0</v>
      </c>
    </row>
    <row r="27" spans="2:10" ht="14.5" thickTop="1"/>
    <row r="28" spans="2:10" ht="28.5" customHeight="1">
      <c r="B28" s="27" t="s">
        <v>46</v>
      </c>
      <c r="C28" s="910" t="s">
        <v>47</v>
      </c>
      <c r="D28" s="915"/>
      <c r="E28" s="915"/>
      <c r="F28" s="915"/>
      <c r="G28" s="24"/>
    </row>
    <row r="30" spans="2:10">
      <c r="B30" s="15" t="s">
        <v>48</v>
      </c>
    </row>
    <row r="32" spans="2:10">
      <c r="B32" s="15" t="s">
        <v>49</v>
      </c>
      <c r="C32" s="29" t="s">
        <v>0</v>
      </c>
      <c r="D32" s="15" t="s">
        <v>50</v>
      </c>
    </row>
    <row r="33" spans="2:14" ht="29.25" customHeight="1">
      <c r="C33" s="30" t="s">
        <v>2</v>
      </c>
      <c r="D33" s="910" t="s">
        <v>76</v>
      </c>
      <c r="E33" s="910"/>
      <c r="F33" s="910"/>
      <c r="G33" s="910"/>
      <c r="H33" s="28"/>
    </row>
    <row r="35" spans="2:14">
      <c r="B35" s="15" t="s">
        <v>51</v>
      </c>
      <c r="C35" s="29" t="s">
        <v>0</v>
      </c>
      <c r="D35" s="15" t="s">
        <v>52</v>
      </c>
      <c r="J35" s="910"/>
      <c r="K35" s="910"/>
      <c r="L35" s="910"/>
      <c r="M35" s="910"/>
      <c r="N35" s="910"/>
    </row>
    <row r="36" spans="2:14" ht="51.75" customHeight="1">
      <c r="C36" s="30" t="s">
        <v>2</v>
      </c>
      <c r="D36" s="911" t="s">
        <v>463</v>
      </c>
      <c r="E36" s="911"/>
      <c r="F36" s="911"/>
      <c r="G36" s="911"/>
    </row>
    <row r="37" spans="2:14">
      <c r="C37" s="31"/>
    </row>
    <row r="38" spans="2:14">
      <c r="C38" s="31"/>
      <c r="F38" s="16"/>
    </row>
    <row r="39" spans="2:14">
      <c r="B39" s="32" t="s">
        <v>77</v>
      </c>
    </row>
    <row r="40" spans="2:14">
      <c r="B40" s="32" t="s">
        <v>53</v>
      </c>
    </row>
    <row r="42" spans="2:14">
      <c r="B42" s="15" t="s">
        <v>54</v>
      </c>
      <c r="C42" s="29" t="s">
        <v>0</v>
      </c>
      <c r="D42" s="15" t="s">
        <v>55</v>
      </c>
    </row>
    <row r="43" spans="2:14">
      <c r="C43" s="29" t="s">
        <v>2</v>
      </c>
      <c r="D43" s="15" t="s">
        <v>56</v>
      </c>
    </row>
    <row r="45" spans="2:14" ht="43.5" customHeight="1">
      <c r="B45" s="917" t="str">
        <f>IF(ISBLANK('Provider Total Budget by Serv'!C2),"",'Provider Total Budget by Serv'!C2)</f>
        <v/>
      </c>
      <c r="C45" s="917"/>
      <c r="D45" s="917"/>
      <c r="F45" s="916"/>
      <c r="G45" s="916"/>
    </row>
    <row r="46" spans="2:14">
      <c r="B46" s="919" t="s">
        <v>57</v>
      </c>
      <c r="C46" s="919"/>
      <c r="D46" s="919"/>
      <c r="E46" s="16"/>
      <c r="F46" s="918" t="s">
        <v>34</v>
      </c>
      <c r="G46" s="918"/>
      <c r="I46" s="14"/>
    </row>
    <row r="48" spans="2:14">
      <c r="B48" s="920"/>
      <c r="C48" s="920"/>
      <c r="D48" s="920"/>
      <c r="F48" s="33"/>
      <c r="G48" s="33"/>
    </row>
    <row r="49" spans="2:9">
      <c r="B49" s="918" t="s">
        <v>36</v>
      </c>
      <c r="C49" s="919"/>
      <c r="D49" s="919"/>
      <c r="E49" s="16"/>
      <c r="F49" s="918" t="s">
        <v>35</v>
      </c>
      <c r="G49" s="918"/>
      <c r="I49" s="14"/>
    </row>
    <row r="50" spans="2:9">
      <c r="B50" s="16"/>
      <c r="C50" s="16"/>
      <c r="D50" s="16"/>
      <c r="E50" s="16"/>
      <c r="G50" s="14"/>
      <c r="H50" s="14"/>
      <c r="I50" s="14"/>
    </row>
    <row r="51" spans="2:9">
      <c r="B51" s="899"/>
      <c r="C51" s="899"/>
      <c r="D51" s="899"/>
      <c r="E51" s="899"/>
      <c r="F51" s="899"/>
      <c r="G51" s="899"/>
      <c r="H51" s="899"/>
    </row>
  </sheetData>
  <sheetProtection formatCells="0" formatColumns="0" formatRows="0"/>
  <customSheetViews>
    <customSheetView guid="{DDFE7685-90A4-42DC-AFD9-89B5EC30420E}" showPageBreaks="1" showGridLines="0" fitToPage="1" printArea="1">
      <selection activeCell="J57" sqref="J57"/>
      <pageMargins left="0.5" right="0.5" top="1" bottom="1" header="0.5" footer="0.5"/>
      <pageSetup paperSize="5" scale="10" orientation="portrait" r:id="rId1"/>
      <headerFooter alignWithMargins="0"/>
    </customSheetView>
    <customSheetView guid="{77E975B4-E38D-4535-BE87-54788ABB15EB}" scale="75" showGridLines="0" fitToPage="1" showRuler="0">
      <selection activeCell="C2" sqref="C2:E2"/>
      <pageMargins left="0.5" right="0.5" top="1" bottom="1" header="0.5" footer="0.5"/>
      <pageSetup scale="83" orientation="portrait" r:id="rId2"/>
      <headerFooter alignWithMargins="0">
        <oddFooter>&amp;RBudget Worksheet FFY 2005 In-Kind Certification</oddFooter>
      </headerFooter>
    </customSheetView>
  </customSheetViews>
  <mergeCells count="35">
    <mergeCell ref="F45:G45"/>
    <mergeCell ref="B45:D45"/>
    <mergeCell ref="B51:H51"/>
    <mergeCell ref="B49:D49"/>
    <mergeCell ref="F49:G49"/>
    <mergeCell ref="B46:D46"/>
    <mergeCell ref="F46:G46"/>
    <mergeCell ref="B48:D48"/>
    <mergeCell ref="B8:C8"/>
    <mergeCell ref="J35:N35"/>
    <mergeCell ref="D36:G36"/>
    <mergeCell ref="B23:E23"/>
    <mergeCell ref="B24:E24"/>
    <mergeCell ref="B25:E25"/>
    <mergeCell ref="B26:E26"/>
    <mergeCell ref="C28:F28"/>
    <mergeCell ref="D33:G33"/>
    <mergeCell ref="B19:E19"/>
    <mergeCell ref="B20:E20"/>
    <mergeCell ref="B1:C1"/>
    <mergeCell ref="D2:G2"/>
    <mergeCell ref="D3:G3"/>
    <mergeCell ref="D8:E8"/>
    <mergeCell ref="B22:E22"/>
    <mergeCell ref="B15:E15"/>
    <mergeCell ref="B16:E16"/>
    <mergeCell ref="B17:E17"/>
    <mergeCell ref="B18:E18"/>
    <mergeCell ref="B10:G10"/>
    <mergeCell ref="B13:E13"/>
    <mergeCell ref="B14:E14"/>
    <mergeCell ref="B21:E21"/>
    <mergeCell ref="B4:G4"/>
    <mergeCell ref="A5:H5"/>
    <mergeCell ref="C6:E6"/>
  </mergeCells>
  <phoneticPr fontId="0" type="noConversion"/>
  <dataValidations count="2">
    <dataValidation type="decimal" allowBlank="1" showInputMessage="1" showErrorMessage="1" sqref="G14:G25" xr:uid="{00000000-0002-0000-0700-000000000000}">
      <formula1>0</formula1>
      <formula2>15000000</formula2>
    </dataValidation>
    <dataValidation operator="greaterThan" allowBlank="1" showInputMessage="1" showErrorMessage="1" sqref="F14:F25" xr:uid="{00000000-0002-0000-0700-000001000000}"/>
  </dataValidations>
  <hyperlinks>
    <hyperlink ref="C28" r:id="rId3" display="http://www.irs.gov/pub/irs-pdf/p561.pdf" xr:uid="{00000000-0004-0000-0700-000000000000}"/>
    <hyperlink ref="D36:G36" r:id="rId4" display="Documented prevailing wage in the Area. For prevailing wage information visit the Texas Workforce Commission’s website at  https://www.twc.texas.gov/news/efte/prevailing_wage_issues.html " xr:uid="{2EEB2A78-7B96-46F4-A6CA-0B488BED645E}"/>
  </hyperlinks>
  <pageMargins left="0.5" right="0.5" top="1" bottom="1" header="0.5" footer="0.5"/>
  <pageSetup paperSize="5" scale="85" orientation="portrait" r:id="rId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tabColor rgb="FF00B050"/>
    <pageSetUpPr fitToPage="1"/>
  </sheetPr>
  <dimension ref="A1:AA106"/>
  <sheetViews>
    <sheetView topLeftCell="G1" zoomScale="90" zoomScaleNormal="90" workbookViewId="0">
      <selection activeCell="M10" sqref="M10:N10"/>
    </sheetView>
  </sheetViews>
  <sheetFormatPr defaultColWidth="9.1796875" defaultRowHeight="12.5"/>
  <cols>
    <col min="1" max="1" width="3.54296875" style="273" customWidth="1"/>
    <col min="2" max="2" width="34.81640625" style="273" customWidth="1"/>
    <col min="3" max="3" width="11.7265625" style="410" customWidth="1"/>
    <col min="4" max="4" width="11.7265625" style="411" customWidth="1"/>
    <col min="5" max="5" width="12.1796875" style="248" customWidth="1"/>
    <col min="6" max="6" width="11.7265625" style="406" customWidth="1"/>
    <col min="7" max="7" width="11.7265625" style="408" customWidth="1"/>
    <col min="8" max="8" width="3.453125" style="277" customWidth="1"/>
    <col min="9" max="9" width="17.81640625" style="410" customWidth="1"/>
    <col min="10" max="10" width="17.81640625" style="248" customWidth="1"/>
    <col min="11" max="11" width="17.81640625" style="220" customWidth="1"/>
    <col min="12" max="12" width="3.453125" style="277" customWidth="1"/>
    <col min="13" max="13" width="20" style="277" customWidth="1"/>
    <col min="14" max="14" width="46.453125" style="277" customWidth="1"/>
    <col min="15" max="15" width="11.1796875" style="277" customWidth="1"/>
    <col min="16" max="16" width="4.54296875" style="248" customWidth="1"/>
    <col min="17" max="19" width="15.7265625" style="248" customWidth="1"/>
    <col min="20" max="16384" width="9.1796875" style="248"/>
  </cols>
  <sheetData>
    <row r="1" spans="1:27" ht="18">
      <c r="A1" s="466"/>
      <c r="B1" s="732" t="s">
        <v>305</v>
      </c>
      <c r="C1" s="732"/>
      <c r="D1" s="732"/>
      <c r="E1" s="732"/>
      <c r="F1" s="732"/>
      <c r="G1" s="732"/>
      <c r="H1" s="732"/>
      <c r="I1" s="732"/>
      <c r="J1" s="732"/>
      <c r="K1" s="732"/>
      <c r="L1" s="732"/>
      <c r="M1" s="732"/>
      <c r="N1" s="732"/>
      <c r="O1" s="732"/>
      <c r="P1" s="466"/>
    </row>
    <row r="2" spans="1:27" ht="12.75" customHeight="1">
      <c r="A2" s="190"/>
      <c r="B2" s="573" t="s">
        <v>26</v>
      </c>
      <c r="C2" s="814">
        <f>'Provider Information'!$F$6</f>
        <v>0</v>
      </c>
      <c r="D2" s="814"/>
      <c r="E2" s="814"/>
      <c r="F2" s="814"/>
      <c r="G2" s="815"/>
      <c r="H2" s="436"/>
      <c r="I2" s="932" t="s">
        <v>255</v>
      </c>
      <c r="J2" s="933"/>
      <c r="K2" s="933"/>
      <c r="L2" s="933"/>
      <c r="M2" s="933"/>
      <c r="N2" s="933"/>
      <c r="O2" s="934"/>
      <c r="P2" s="190"/>
      <c r="AA2" s="639"/>
    </row>
    <row r="3" spans="1:27" ht="12.75" customHeight="1">
      <c r="A3" s="190"/>
      <c r="B3" s="572" t="s">
        <v>388</v>
      </c>
      <c r="C3" s="780">
        <f>+'Provider Information'!D21</f>
        <v>0</v>
      </c>
      <c r="D3" s="780"/>
      <c r="E3" s="780"/>
      <c r="F3" s="780"/>
      <c r="G3" s="816"/>
      <c r="H3" s="437"/>
      <c r="I3" s="935"/>
      <c r="J3" s="936"/>
      <c r="K3" s="936"/>
      <c r="L3" s="936"/>
      <c r="M3" s="936"/>
      <c r="N3" s="936"/>
      <c r="O3" s="937"/>
      <c r="P3" s="190"/>
    </row>
    <row r="4" spans="1:27" ht="12.75" customHeight="1">
      <c r="A4" s="185"/>
      <c r="B4" s="575"/>
      <c r="C4" s="817"/>
      <c r="D4" s="817"/>
      <c r="E4" s="817"/>
      <c r="F4" s="817"/>
      <c r="G4" s="818"/>
      <c r="H4" s="438"/>
      <c r="I4" s="938"/>
      <c r="J4" s="939"/>
      <c r="K4" s="939"/>
      <c r="L4" s="939"/>
      <c r="M4" s="939"/>
      <c r="N4" s="939"/>
      <c r="O4" s="940"/>
      <c r="P4" s="190"/>
    </row>
    <row r="5" spans="1:27" ht="13">
      <c r="A5" s="184"/>
      <c r="B5" s="439"/>
      <c r="C5" s="921">
        <f ca="1">NOW()</f>
        <v>45380.323058564813</v>
      </c>
      <c r="D5" s="921"/>
      <c r="E5" s="921"/>
      <c r="F5" s="921"/>
      <c r="G5" s="922"/>
      <c r="H5" s="440"/>
      <c r="I5" s="831" t="s">
        <v>5</v>
      </c>
      <c r="J5" s="831"/>
      <c r="K5" s="831"/>
      <c r="L5" s="440"/>
      <c r="M5" s="941"/>
      <c r="N5" s="942"/>
      <c r="O5" s="942"/>
      <c r="P5" s="185"/>
    </row>
    <row r="6" spans="1:27" ht="18" customHeight="1">
      <c r="A6" s="191"/>
      <c r="B6" s="848" t="s">
        <v>327</v>
      </c>
      <c r="C6" s="850">
        <v>2023</v>
      </c>
      <c r="D6" s="827"/>
      <c r="E6" s="827"/>
      <c r="F6" s="827"/>
      <c r="G6" s="828"/>
      <c r="H6" s="321"/>
      <c r="I6" s="832" t="s">
        <v>257</v>
      </c>
      <c r="J6" s="833"/>
      <c r="K6" s="833"/>
      <c r="L6" s="321"/>
      <c r="M6" s="943" t="s">
        <v>258</v>
      </c>
      <c r="N6" s="944"/>
      <c r="O6" s="944"/>
      <c r="P6" s="190"/>
    </row>
    <row r="7" spans="1:27" ht="17.5">
      <c r="A7" s="191"/>
      <c r="B7" s="849"/>
      <c r="C7" s="851"/>
      <c r="D7" s="829"/>
      <c r="E7" s="829"/>
      <c r="F7" s="829"/>
      <c r="G7" s="830"/>
      <c r="H7" s="322"/>
      <c r="I7" s="834"/>
      <c r="J7" s="835"/>
      <c r="K7" s="835"/>
      <c r="L7" s="322"/>
      <c r="M7" s="943"/>
      <c r="N7" s="944"/>
      <c r="O7" s="944"/>
      <c r="P7" s="190"/>
    </row>
    <row r="8" spans="1:27" ht="13">
      <c r="A8" s="186"/>
      <c r="C8" s="831"/>
      <c r="D8" s="831"/>
      <c r="E8" s="831"/>
      <c r="F8" s="831"/>
      <c r="G8" s="831"/>
      <c r="H8" s="323"/>
      <c r="I8" s="441"/>
      <c r="J8" s="325"/>
      <c r="K8" s="442"/>
      <c r="L8" s="323"/>
      <c r="M8" s="722"/>
      <c r="N8" s="723"/>
      <c r="O8" s="723"/>
      <c r="P8" s="187"/>
    </row>
    <row r="9" spans="1:27" s="328" customFormat="1" ht="12.75" customHeight="1">
      <c r="A9" s="192"/>
      <c r="B9" s="959" t="s">
        <v>203</v>
      </c>
      <c r="C9" s="927" t="s">
        <v>256</v>
      </c>
      <c r="D9" s="961" t="s">
        <v>250</v>
      </c>
      <c r="E9" s="927" t="s">
        <v>251</v>
      </c>
      <c r="F9" s="923" t="s">
        <v>252</v>
      </c>
      <c r="G9" s="925" t="s">
        <v>253</v>
      </c>
      <c r="H9" s="327"/>
      <c r="I9" s="929" t="s">
        <v>254</v>
      </c>
      <c r="J9" s="945" t="s">
        <v>259</v>
      </c>
      <c r="K9" s="925" t="s">
        <v>253</v>
      </c>
      <c r="L9" s="327"/>
      <c r="M9" s="947" t="s">
        <v>454</v>
      </c>
      <c r="N9" s="948"/>
      <c r="O9" s="669">
        <v>2.7E-2</v>
      </c>
      <c r="P9" s="196"/>
    </row>
    <row r="10" spans="1:27" s="328" customFormat="1" ht="12.75" customHeight="1">
      <c r="A10" s="192"/>
      <c r="B10" s="836"/>
      <c r="C10" s="809"/>
      <c r="D10" s="811"/>
      <c r="E10" s="809"/>
      <c r="F10" s="813"/>
      <c r="G10" s="807"/>
      <c r="H10" s="327"/>
      <c r="I10" s="930"/>
      <c r="J10" s="847"/>
      <c r="K10" s="807"/>
      <c r="L10" s="327"/>
      <c r="M10" s="947" t="s">
        <v>467</v>
      </c>
      <c r="N10" s="948"/>
      <c r="O10" s="669">
        <v>2.4E-2</v>
      </c>
      <c r="P10" s="196"/>
    </row>
    <row r="11" spans="1:27" s="328" customFormat="1" ht="12.75" customHeight="1">
      <c r="A11" s="192"/>
      <c r="B11" s="836"/>
      <c r="C11" s="809"/>
      <c r="D11" s="811"/>
      <c r="E11" s="809"/>
      <c r="F11" s="813"/>
      <c r="G11" s="807"/>
      <c r="H11" s="327"/>
      <c r="I11" s="930"/>
      <c r="J11" s="847"/>
      <c r="K11" s="807"/>
      <c r="L11" s="327"/>
      <c r="M11" s="947" t="s">
        <v>304</v>
      </c>
      <c r="N11" s="948"/>
      <c r="O11" s="667">
        <f>SUM(O9:O10)</f>
        <v>5.1000000000000004E-2</v>
      </c>
      <c r="P11" s="196"/>
    </row>
    <row r="12" spans="1:27" s="328" customFormat="1" ht="89.25" customHeight="1">
      <c r="A12" s="192"/>
      <c r="B12" s="960"/>
      <c r="C12" s="928"/>
      <c r="D12" s="962"/>
      <c r="E12" s="928"/>
      <c r="F12" s="924"/>
      <c r="G12" s="926"/>
      <c r="H12" s="327"/>
      <c r="I12" s="931"/>
      <c r="J12" s="946"/>
      <c r="K12" s="926"/>
      <c r="L12" s="327"/>
      <c r="M12" s="823" t="s">
        <v>415</v>
      </c>
      <c r="N12" s="949"/>
      <c r="O12" s="824"/>
      <c r="P12" s="196"/>
    </row>
    <row r="13" spans="1:27" s="164" customFormat="1" ht="13">
      <c r="A13" s="188"/>
      <c r="B13" s="785" t="s">
        <v>230</v>
      </c>
      <c r="C13" s="825"/>
      <c r="D13" s="825"/>
      <c r="E13" s="825"/>
      <c r="F13" s="825"/>
      <c r="G13" s="825"/>
      <c r="H13" s="329"/>
      <c r="I13" s="443"/>
      <c r="J13" s="331"/>
      <c r="K13" s="444"/>
      <c r="L13" s="329"/>
      <c r="M13" s="333"/>
      <c r="N13" s="334"/>
      <c r="O13" s="334"/>
      <c r="P13" s="197"/>
    </row>
    <row r="14" spans="1:27" s="73" customFormat="1">
      <c r="A14" s="193"/>
      <c r="B14" s="92" t="s">
        <v>204</v>
      </c>
      <c r="C14" s="67"/>
      <c r="D14" s="335"/>
      <c r="E14" s="106">
        <f>+D14-C14</f>
        <v>0</v>
      </c>
      <c r="F14" s="336">
        <f>IF(+C14+D14=0,0,(IF(AND(+C14=0,D14&gt;0),1,(IF(AND(+C14&gt;0,D14=0),-1,+C14/+D14-1)))))</f>
        <v>0</v>
      </c>
      <c r="G14" s="162"/>
      <c r="H14" s="337"/>
      <c r="I14" s="199">
        <f>+'Provider Total Budget by Serv'!G17+'Provider Total Budget by Serv'!G29</f>
        <v>0</v>
      </c>
      <c r="J14" s="339">
        <f>IF(I14+C14=0,0,(IF(AND(I14=0,C14&gt;0),-1,(IF(AND(I14&gt;0,C14=0),1,+I14/C14-1)))))</f>
        <v>0</v>
      </c>
      <c r="K14" s="227"/>
      <c r="L14" s="337"/>
      <c r="M14" s="950"/>
      <c r="N14" s="950"/>
      <c r="O14" s="951"/>
      <c r="P14" s="189"/>
    </row>
    <row r="15" spans="1:27" s="73" customFormat="1">
      <c r="A15" s="194"/>
      <c r="B15" s="93" t="s">
        <v>205</v>
      </c>
      <c r="C15" s="69"/>
      <c r="D15" s="341"/>
      <c r="E15" s="342">
        <f>+D15-C15</f>
        <v>0</v>
      </c>
      <c r="F15" s="343">
        <f t="shared" ref="F15:F16" si="0">IF(+C15+D15=0,0,(IF(AND(+C15=0,D15&gt;0),1,(IF(AND(+C15&gt;0,D15=0),-1,+C15/+D15-1)))))</f>
        <v>0</v>
      </c>
      <c r="G15" s="161"/>
      <c r="H15" s="313"/>
      <c r="I15" s="178">
        <f>+'Provider Total Budget by Serv'!G36</f>
        <v>0</v>
      </c>
      <c r="J15" s="161">
        <f>IF(I15+C15=0,0,(IF(AND(I15=0,C15&gt;0),-1,(IF(AND(I15&gt;0,C15=0),1,+I15/C15-1)))))</f>
        <v>0</v>
      </c>
      <c r="K15" s="228"/>
      <c r="L15" s="313"/>
      <c r="M15" s="950">
        <f>+'Home Delivered Meal Budget'!M17</f>
        <v>0</v>
      </c>
      <c r="N15" s="950"/>
      <c r="O15" s="951"/>
      <c r="P15" s="189"/>
    </row>
    <row r="16" spans="1:27" s="73" customFormat="1">
      <c r="A16" s="194"/>
      <c r="B16" s="93" t="s">
        <v>1</v>
      </c>
      <c r="C16" s="75">
        <f>SUM(C14:C15)</f>
        <v>0</v>
      </c>
      <c r="D16" s="344">
        <f>SUM(D14:D15)</f>
        <v>0</v>
      </c>
      <c r="E16" s="106">
        <f>+D16-C16</f>
        <v>0</v>
      </c>
      <c r="F16" s="345">
        <f t="shared" si="0"/>
        <v>0</v>
      </c>
      <c r="G16" s="346">
        <f>IF(AND(C16&gt;0,C$80&gt;0),+C16/C$80,0)</f>
        <v>0</v>
      </c>
      <c r="H16" s="313"/>
      <c r="I16" s="179">
        <f>SUM(I14:I15)</f>
        <v>0</v>
      </c>
      <c r="J16" s="161">
        <f>IF(I16+C16=0,0,(IF(AND(I16=0,C16&gt;0),-1,(IF(AND(I16&gt;0,C16=0),1,+I16/C16-1)))))</f>
        <v>0</v>
      </c>
      <c r="K16" s="347" t="e">
        <f>IF(AND(I16&gt;0,I$80&gt;0),+I16/I$80,0)</f>
        <v>#DIV/0!</v>
      </c>
      <c r="L16" s="313"/>
      <c r="M16" s="950">
        <f>+'Home Delivered Meal Budget'!M18</f>
        <v>0</v>
      </c>
      <c r="N16" s="950"/>
      <c r="O16" s="951"/>
      <c r="P16" s="189"/>
    </row>
    <row r="17" spans="1:16" s="73" customFormat="1" ht="13">
      <c r="A17" s="195"/>
      <c r="B17" s="725" t="s">
        <v>237</v>
      </c>
      <c r="C17" s="725"/>
      <c r="D17" s="725"/>
      <c r="E17" s="725"/>
      <c r="F17" s="725"/>
      <c r="G17" s="785"/>
      <c r="H17" s="205"/>
      <c r="I17" s="445"/>
      <c r="J17" s="349"/>
      <c r="K17" s="446"/>
      <c r="L17" s="264"/>
      <c r="M17" s="602"/>
      <c r="N17" s="602"/>
      <c r="O17" s="602"/>
      <c r="P17" s="189"/>
    </row>
    <row r="18" spans="1:16" s="73" customFormat="1">
      <c r="A18" s="193"/>
      <c r="B18" s="91" t="s">
        <v>204</v>
      </c>
      <c r="C18" s="67"/>
      <c r="D18" s="352"/>
      <c r="E18" s="106">
        <f>+D18-C18</f>
        <v>0</v>
      </c>
      <c r="F18" s="336">
        <f t="shared" ref="F18:F22" si="1">IF(+C18+D18=0,0,(IF(AND(+C18=0,D18&gt;0),1,(IF(AND(+C18&gt;0,D18=0),-1,+C18/+D18-1)))))</f>
        <v>0</v>
      </c>
      <c r="G18" s="353"/>
      <c r="H18" s="205"/>
      <c r="I18" s="576" t="e">
        <f>IF('Provider Total Budget by Serv'!E$300="N",0,(+'Provider Total Budget by Serv'!E17+'Provider Total Budget by Serv'!E29)*'Provider Total Budget by Serv'!D$304)</f>
        <v>#DIV/0!</v>
      </c>
      <c r="J18" s="546" t="e">
        <f>IF(I18+C18=0,0,(IF(AND(I18=0,C18&gt;0),-1,(IF(AND(I18&gt;0,C18=0),1,+I18/C18-1)))))</f>
        <v>#DIV/0!</v>
      </c>
      <c r="K18" s="226"/>
      <c r="L18" s="313"/>
      <c r="M18" s="950"/>
      <c r="N18" s="950"/>
      <c r="O18" s="951"/>
      <c r="P18" s="189"/>
    </row>
    <row r="19" spans="1:16" s="73" customFormat="1">
      <c r="A19" s="194"/>
      <c r="B19" s="92" t="s">
        <v>205</v>
      </c>
      <c r="C19" s="68"/>
      <c r="D19" s="354"/>
      <c r="E19" s="106">
        <f>+D19-C19</f>
        <v>0</v>
      </c>
      <c r="F19" s="336">
        <f t="shared" si="1"/>
        <v>0</v>
      </c>
      <c r="G19" s="163"/>
      <c r="H19" s="205"/>
      <c r="I19" s="577" t="e">
        <f>IF('Provider Total Budget by Serv'!E$300="N",0,(+'Provider Total Budget by Serv'!E36*'Provider Total Budget by Serv'!D$304))</f>
        <v>#DIV/0!</v>
      </c>
      <c r="J19" s="183" t="e">
        <f>IF(I19+C19=0,0,(IF(AND(I19=0,C19&gt;0),-1,(IF(AND(I19&gt;0,C19=0),1,+I19/C19-1)))))</f>
        <v>#DIV/0!</v>
      </c>
      <c r="K19" s="227"/>
      <c r="L19" s="313"/>
      <c r="M19" s="950"/>
      <c r="N19" s="950"/>
      <c r="O19" s="951"/>
      <c r="P19" s="189"/>
    </row>
    <row r="20" spans="1:16" s="73" customFormat="1">
      <c r="A20" s="194"/>
      <c r="B20" s="92" t="s">
        <v>208</v>
      </c>
      <c r="C20" s="68"/>
      <c r="D20" s="354"/>
      <c r="E20" s="106">
        <f>+D20-C20</f>
        <v>0</v>
      </c>
      <c r="F20" s="336">
        <f t="shared" si="1"/>
        <v>0</v>
      </c>
      <c r="G20" s="163"/>
      <c r="H20" s="205"/>
      <c r="I20" s="577" t="e">
        <f>IF('Provider Total Budget by Serv'!E$300="N",0,(+'Provider Total Budget by Serv'!E53*'Provider Total Budget by Serv'!D$304))</f>
        <v>#DIV/0!</v>
      </c>
      <c r="J20" s="183" t="e">
        <f>IF(I20+C20=0,0,(IF(AND(I20=0,C20&gt;0),-1,(IF(AND(I20&gt;0,C20=0),1,+I20/C20-1)))))</f>
        <v>#DIV/0!</v>
      </c>
      <c r="K20" s="227"/>
      <c r="L20" s="313"/>
      <c r="M20" s="950"/>
      <c r="N20" s="950"/>
      <c r="O20" s="951"/>
      <c r="P20" s="189"/>
    </row>
    <row r="21" spans="1:16" s="73" customFormat="1">
      <c r="A21" s="194"/>
      <c r="B21" s="93" t="s">
        <v>206</v>
      </c>
      <c r="C21" s="69"/>
      <c r="D21" s="341"/>
      <c r="E21" s="342">
        <f>+D21-C21</f>
        <v>0</v>
      </c>
      <c r="F21" s="355">
        <f t="shared" si="1"/>
        <v>0</v>
      </c>
      <c r="G21" s="161"/>
      <c r="H21" s="205"/>
      <c r="I21" s="578" t="e">
        <f>IF('Provider Total Budget by Serv'!E$300="N",0,(+'Provider Total Budget by Serv'!E43*'Provider Total Budget by Serv'!D$304))</f>
        <v>#DIV/0!</v>
      </c>
      <c r="J21" s="547" t="e">
        <f>IF(I21+C21=0,0,(IF(AND(I21=0,C21&gt;0),-1,(IF(AND(I21&gt;0,C21=0),1,+I21/C21-1)))))</f>
        <v>#DIV/0!</v>
      </c>
      <c r="K21" s="228"/>
      <c r="L21" s="313"/>
      <c r="M21" s="950">
        <f>+'Home Delivered Meal Budget'!M24</f>
        <v>0</v>
      </c>
      <c r="N21" s="950"/>
      <c r="O21" s="951"/>
      <c r="P21" s="189"/>
    </row>
    <row r="22" spans="1:16" s="73" customFormat="1">
      <c r="A22" s="194"/>
      <c r="B22" s="93" t="s">
        <v>1</v>
      </c>
      <c r="C22" s="75">
        <f>SUM(C18:C21)</f>
        <v>0</v>
      </c>
      <c r="D22" s="344">
        <f>SUM(D18:D21)</f>
        <v>0</v>
      </c>
      <c r="E22" s="106">
        <f>+D22-C22</f>
        <v>0</v>
      </c>
      <c r="F22" s="345">
        <f t="shared" si="1"/>
        <v>0</v>
      </c>
      <c r="G22" s="161">
        <f>IF(AND(C22&gt;0,C$80&gt;0),+C22/C$80,0)</f>
        <v>0</v>
      </c>
      <c r="H22" s="313"/>
      <c r="I22" s="179" t="e">
        <f>SUM(I18:I21)</f>
        <v>#DIV/0!</v>
      </c>
      <c r="J22" s="161" t="e">
        <f>IF(I22+C22=0,0,(IF(AND(I22=0,C22&gt;0),-1,(IF(AND(I22&gt;0,C22=0),1,+I22/C22-1)))))</f>
        <v>#DIV/0!</v>
      </c>
      <c r="K22" s="347" t="e">
        <f>IF(AND(I22&gt;0,I$80&gt;0),+I22/I$80,0)</f>
        <v>#DIV/0!</v>
      </c>
      <c r="L22" s="313"/>
      <c r="M22" s="950"/>
      <c r="N22" s="950"/>
      <c r="O22" s="951"/>
      <c r="P22" s="189"/>
    </row>
    <row r="23" spans="1:16" s="73" customFormat="1" ht="12.75" customHeight="1">
      <c r="A23" s="195"/>
      <c r="B23" s="725" t="s">
        <v>231</v>
      </c>
      <c r="C23" s="725"/>
      <c r="D23" s="725"/>
      <c r="E23" s="725"/>
      <c r="F23" s="725"/>
      <c r="G23" s="785"/>
      <c r="H23" s="313"/>
      <c r="I23" s="445"/>
      <c r="J23" s="349"/>
      <c r="K23" s="446"/>
      <c r="L23" s="313"/>
      <c r="M23" s="602"/>
      <c r="N23" s="602"/>
      <c r="O23" s="602"/>
      <c r="P23" s="189"/>
    </row>
    <row r="24" spans="1:16" s="73" customFormat="1">
      <c r="A24" s="193"/>
      <c r="B24" s="92" t="s">
        <v>206</v>
      </c>
      <c r="C24" s="67"/>
      <c r="D24" s="356"/>
      <c r="E24" s="106">
        <f>+D24-C24</f>
        <v>0</v>
      </c>
      <c r="F24" s="107">
        <f t="shared" ref="F24:F27" si="2">IF(+C24+D24=0,0,(IF(AND(+C24=0,D24&gt;0),1,(IF(AND(+C24&gt;0,D24=0),-1,+C24/+D24-1)))))</f>
        <v>0</v>
      </c>
      <c r="G24" s="353"/>
      <c r="H24" s="313"/>
      <c r="I24" s="177">
        <f>+'Provider Total Budget by Serv'!G43</f>
        <v>0</v>
      </c>
      <c r="J24" s="163">
        <f>IF(I24+C24=0,0,(IF(AND(I24=0,C24&gt;0),-1,(IF(AND(I24&gt;0,C24=0),1,+I24/C24-1)))))</f>
        <v>0</v>
      </c>
      <c r="K24" s="227"/>
      <c r="L24" s="313"/>
      <c r="M24" s="950"/>
      <c r="N24" s="950"/>
      <c r="O24" s="951"/>
      <c r="P24" s="189"/>
    </row>
    <row r="25" spans="1:16" s="73" customFormat="1">
      <c r="A25" s="194"/>
      <c r="B25" s="92" t="s">
        <v>207</v>
      </c>
      <c r="C25" s="68"/>
      <c r="D25" s="105"/>
      <c r="E25" s="106">
        <f>+D25-C25</f>
        <v>0</v>
      </c>
      <c r="F25" s="107">
        <f t="shared" si="2"/>
        <v>0</v>
      </c>
      <c r="G25" s="163"/>
      <c r="H25" s="313"/>
      <c r="I25" s="177">
        <f>+'Provider Total Budget by Serv'!G48</f>
        <v>0</v>
      </c>
      <c r="J25" s="163">
        <f>IF(I25+C25=0,0,(IF(AND(I25=0,C25&gt;0),-1,(IF(AND(I25&gt;0,C25=0),1,+I25/C25-1)))))</f>
        <v>0</v>
      </c>
      <c r="K25" s="227"/>
      <c r="L25" s="313"/>
      <c r="M25" s="950">
        <f>+'Home Delivered Meal Budget'!M27</f>
        <v>0</v>
      </c>
      <c r="N25" s="950"/>
      <c r="O25" s="951"/>
      <c r="P25" s="189"/>
    </row>
    <row r="26" spans="1:16" s="73" customFormat="1">
      <c r="A26" s="194"/>
      <c r="B26" s="93" t="s">
        <v>208</v>
      </c>
      <c r="C26" s="69"/>
      <c r="D26" s="341"/>
      <c r="E26" s="342">
        <f>+D26-C26</f>
        <v>0</v>
      </c>
      <c r="F26" s="343">
        <f t="shared" si="2"/>
        <v>0</v>
      </c>
      <c r="G26" s="161"/>
      <c r="H26" s="313"/>
      <c r="I26" s="178">
        <f>+'Provider Total Budget by Serv'!G53</f>
        <v>0</v>
      </c>
      <c r="J26" s="161">
        <f>IF(I26+C26=0,0,(IF(AND(I26=0,C26&gt;0),-1,(IF(AND(I26&gt;0,C26=0),1,+I26/C26-1)))))</f>
        <v>0</v>
      </c>
      <c r="K26" s="228"/>
      <c r="L26" s="313"/>
      <c r="M26" s="950">
        <f>+'Home Delivered Meal Budget'!M28</f>
        <v>0</v>
      </c>
      <c r="N26" s="950"/>
      <c r="O26" s="951"/>
      <c r="P26" s="189"/>
    </row>
    <row r="27" spans="1:16" s="73" customFormat="1">
      <c r="A27" s="194"/>
      <c r="B27" s="93" t="s">
        <v>1</v>
      </c>
      <c r="C27" s="75">
        <f>SUM(C24:C26)</f>
        <v>0</v>
      </c>
      <c r="D27" s="76">
        <f>SUM(D24:D26)</f>
        <v>0</v>
      </c>
      <c r="E27" s="106">
        <f>+D27-C27</f>
        <v>0</v>
      </c>
      <c r="F27" s="345">
        <f t="shared" si="2"/>
        <v>0</v>
      </c>
      <c r="G27" s="161">
        <f>IF(AND(C27&gt;0,C$80&gt;0),+C27/C$80,0)</f>
        <v>0</v>
      </c>
      <c r="H27" s="313"/>
      <c r="I27" s="179">
        <f>SUM(I24:I26)</f>
        <v>0</v>
      </c>
      <c r="J27" s="161">
        <f>IF(I27+C27=0,0,(IF(AND(I27=0,C27&gt;0),-1,(IF(AND(I27&gt;0,C27=0),1,+I27/C27-1)))))</f>
        <v>0</v>
      </c>
      <c r="K27" s="347" t="e">
        <f>IF(AND(I27&gt;0,I$80&gt;0),+I27/I$80,0)</f>
        <v>#DIV/0!</v>
      </c>
      <c r="L27" s="313"/>
      <c r="M27" s="950">
        <f>+'Home Delivered Meal Budget'!M29</f>
        <v>0</v>
      </c>
      <c r="N27" s="950"/>
      <c r="O27" s="951"/>
      <c r="P27" s="189"/>
    </row>
    <row r="28" spans="1:16" s="73" customFormat="1" ht="13">
      <c r="A28" s="195"/>
      <c r="B28" s="725" t="s">
        <v>232</v>
      </c>
      <c r="C28" s="725"/>
      <c r="D28" s="725"/>
      <c r="E28" s="725"/>
      <c r="F28" s="725"/>
      <c r="G28" s="785"/>
      <c r="H28" s="313"/>
      <c r="I28" s="445"/>
      <c r="J28" s="349"/>
      <c r="K28" s="446"/>
      <c r="L28" s="313"/>
      <c r="M28" s="602"/>
      <c r="N28" s="602"/>
      <c r="O28" s="602"/>
      <c r="P28" s="189"/>
    </row>
    <row r="29" spans="1:16" s="73" customFormat="1">
      <c r="A29" s="193"/>
      <c r="B29" s="92" t="s">
        <v>20</v>
      </c>
      <c r="C29" s="67"/>
      <c r="D29" s="105"/>
      <c r="E29" s="106">
        <f t="shared" ref="E29:E35" si="3">+D29-C29</f>
        <v>0</v>
      </c>
      <c r="F29" s="107">
        <f t="shared" ref="F29:F35" si="4">IF(+C29+D29=0,0,(IF(AND(+C29=0,D29&gt;0),1,(IF(AND(+C29&gt;0,D29=0),-1,+C29/+D29-1)))))</f>
        <v>0</v>
      </c>
      <c r="G29" s="353"/>
      <c r="H29" s="313"/>
      <c r="I29" s="177">
        <f>+'Provider Total Budget by Serv'!G61</f>
        <v>0</v>
      </c>
      <c r="J29" s="163">
        <f t="shared" ref="J29:J35" si="5">IF(I29+C29=0,0,(IF(AND(I29=0,C29&gt;0),-1,(IF(AND(I29&gt;0,C29=0),1,+I29/C29-1)))))</f>
        <v>0</v>
      </c>
      <c r="K29" s="227"/>
      <c r="L29" s="313"/>
      <c r="M29" s="950"/>
      <c r="N29" s="950"/>
      <c r="O29" s="951"/>
      <c r="P29" s="189"/>
    </row>
    <row r="30" spans="1:16" s="73" customFormat="1">
      <c r="A30" s="194"/>
      <c r="B30" s="104" t="s">
        <v>243</v>
      </c>
      <c r="C30" s="68"/>
      <c r="D30" s="105"/>
      <c r="E30" s="106">
        <f t="shared" si="3"/>
        <v>0</v>
      </c>
      <c r="F30" s="107">
        <f t="shared" si="4"/>
        <v>0</v>
      </c>
      <c r="G30" s="163"/>
      <c r="H30" s="313"/>
      <c r="I30" s="177">
        <f>+'Provider Total Budget by Serv'!G68</f>
        <v>0</v>
      </c>
      <c r="J30" s="163">
        <f t="shared" si="5"/>
        <v>0</v>
      </c>
      <c r="K30" s="227"/>
      <c r="L30" s="313"/>
      <c r="M30" s="950">
        <f>+'Home Delivered Meal Budget'!M32</f>
        <v>0</v>
      </c>
      <c r="N30" s="950"/>
      <c r="O30" s="951"/>
      <c r="P30" s="189"/>
    </row>
    <row r="31" spans="1:16" s="73" customFormat="1">
      <c r="A31" s="194"/>
      <c r="B31" s="92" t="s">
        <v>21</v>
      </c>
      <c r="C31" s="68"/>
      <c r="D31" s="105"/>
      <c r="E31" s="106">
        <f t="shared" si="3"/>
        <v>0</v>
      </c>
      <c r="F31" s="107">
        <f t="shared" si="4"/>
        <v>0</v>
      </c>
      <c r="G31" s="163"/>
      <c r="H31" s="313"/>
      <c r="I31" s="177">
        <f>+'Provider Total Budget by Serv'!G73</f>
        <v>0</v>
      </c>
      <c r="J31" s="163">
        <f t="shared" si="5"/>
        <v>0</v>
      </c>
      <c r="K31" s="227"/>
      <c r="L31" s="313"/>
      <c r="M31" s="950">
        <f>+'Home Delivered Meal Budget'!M33</f>
        <v>0</v>
      </c>
      <c r="N31" s="950"/>
      <c r="O31" s="951"/>
      <c r="P31" s="189"/>
    </row>
    <row r="32" spans="1:16" s="73" customFormat="1">
      <c r="A32" s="194"/>
      <c r="B32" s="92" t="s">
        <v>215</v>
      </c>
      <c r="C32" s="68"/>
      <c r="D32" s="105"/>
      <c r="E32" s="106">
        <f t="shared" si="3"/>
        <v>0</v>
      </c>
      <c r="F32" s="216">
        <f t="shared" si="4"/>
        <v>0</v>
      </c>
      <c r="G32" s="357"/>
      <c r="H32" s="313"/>
      <c r="I32" s="177">
        <f>+'Provider Total Budget by Serv'!G78</f>
        <v>0</v>
      </c>
      <c r="J32" s="163">
        <f t="shared" si="5"/>
        <v>0</v>
      </c>
      <c r="K32" s="227"/>
      <c r="L32" s="313"/>
      <c r="M32" s="950">
        <f>+'Home Delivered Meal Budget'!M34</f>
        <v>0</v>
      </c>
      <c r="N32" s="950"/>
      <c r="O32" s="951"/>
      <c r="P32" s="189"/>
    </row>
    <row r="33" spans="1:16" s="73" customFormat="1">
      <c r="A33" s="194"/>
      <c r="B33" s="92" t="s">
        <v>216</v>
      </c>
      <c r="C33" s="68"/>
      <c r="D33" s="105"/>
      <c r="E33" s="106">
        <f t="shared" si="3"/>
        <v>0</v>
      </c>
      <c r="F33" s="216">
        <f t="shared" si="4"/>
        <v>0</v>
      </c>
      <c r="G33" s="163"/>
      <c r="H33" s="313"/>
      <c r="I33" s="177">
        <f>+'Provider Total Budget by Serv'!G87</f>
        <v>0</v>
      </c>
      <c r="J33" s="163">
        <f t="shared" si="5"/>
        <v>0</v>
      </c>
      <c r="K33" s="227"/>
      <c r="L33" s="313"/>
      <c r="M33" s="950">
        <f>+'Home Delivered Meal Budget'!M35</f>
        <v>0</v>
      </c>
      <c r="N33" s="950"/>
      <c r="O33" s="951"/>
      <c r="P33" s="189"/>
    </row>
    <row r="34" spans="1:16" s="73" customFormat="1">
      <c r="A34" s="194"/>
      <c r="B34" s="93" t="s">
        <v>219</v>
      </c>
      <c r="C34" s="69"/>
      <c r="D34" s="358"/>
      <c r="E34" s="342">
        <f t="shared" si="3"/>
        <v>0</v>
      </c>
      <c r="F34" s="359">
        <f t="shared" si="4"/>
        <v>0</v>
      </c>
      <c r="G34" s="161"/>
      <c r="H34" s="313"/>
      <c r="I34" s="178">
        <f>+'Provider Total Budget by Serv'!G92</f>
        <v>0</v>
      </c>
      <c r="J34" s="161">
        <f t="shared" si="5"/>
        <v>0</v>
      </c>
      <c r="K34" s="228"/>
      <c r="L34" s="313"/>
      <c r="M34" s="950">
        <f>+'Home Delivered Meal Budget'!M36</f>
        <v>0</v>
      </c>
      <c r="N34" s="950"/>
      <c r="O34" s="951"/>
      <c r="P34" s="189"/>
    </row>
    <row r="35" spans="1:16" s="73" customFormat="1">
      <c r="A35" s="194"/>
      <c r="B35" s="93" t="s">
        <v>1</v>
      </c>
      <c r="C35" s="75">
        <f>SUM(C29:C34)</f>
        <v>0</v>
      </c>
      <c r="D35" s="76">
        <f>SUM(D29:D34)</f>
        <v>0</v>
      </c>
      <c r="E35" s="106">
        <f t="shared" si="3"/>
        <v>0</v>
      </c>
      <c r="F35" s="345">
        <f t="shared" si="4"/>
        <v>0</v>
      </c>
      <c r="G35" s="161">
        <f>IF(AND(C35&gt;0,C$80&gt;0),+C35/C$80,0)</f>
        <v>0</v>
      </c>
      <c r="H35" s="313"/>
      <c r="I35" s="179">
        <f>SUM(I29:I34)</f>
        <v>0</v>
      </c>
      <c r="J35" s="161">
        <f t="shared" si="5"/>
        <v>0</v>
      </c>
      <c r="K35" s="347" t="e">
        <f>IF(AND(I35&gt;0,I$80&gt;0),+I35/I$80,0)</f>
        <v>#DIV/0!</v>
      </c>
      <c r="L35" s="313"/>
      <c r="M35" s="950">
        <f>+'Home Delivered Meal Budget'!M37</f>
        <v>0</v>
      </c>
      <c r="N35" s="950"/>
      <c r="O35" s="951"/>
      <c r="P35" s="189"/>
    </row>
    <row r="36" spans="1:16" s="73" customFormat="1" ht="13">
      <c r="A36" s="195"/>
      <c r="B36" s="725" t="s">
        <v>233</v>
      </c>
      <c r="C36" s="725"/>
      <c r="D36" s="725"/>
      <c r="E36" s="725"/>
      <c r="F36" s="725"/>
      <c r="G36" s="785"/>
      <c r="H36" s="313"/>
      <c r="I36" s="445"/>
      <c r="J36" s="349"/>
      <c r="K36" s="446"/>
      <c r="L36" s="313"/>
      <c r="M36" s="602"/>
      <c r="N36" s="602"/>
      <c r="O36" s="602"/>
      <c r="P36" s="189"/>
    </row>
    <row r="37" spans="1:16" s="73" customFormat="1">
      <c r="A37" s="193"/>
      <c r="B37" s="92" t="s">
        <v>209</v>
      </c>
      <c r="C37" s="67"/>
      <c r="D37" s="105"/>
      <c r="E37" s="106">
        <f>+D37-C37</f>
        <v>0</v>
      </c>
      <c r="F37" s="107">
        <f t="shared" ref="F37:F41" si="6">IF(+C37+D37=0,0,(IF(AND(+C37=0,D37&gt;0),1,(IF(AND(+C37&gt;0,D37=0),-1,+C37/+D37-1)))))</f>
        <v>0</v>
      </c>
      <c r="G37" s="357"/>
      <c r="H37" s="313"/>
      <c r="I37" s="177">
        <f>+'Provider Total Budget by Serv'!G99</f>
        <v>0</v>
      </c>
      <c r="J37" s="163">
        <f>IF(I37+C37=0,0,(IF(AND(I37=0,C37&gt;0),-1,(IF(AND(I37&gt;0,C37=0),1,+I37/C37-1)))))</f>
        <v>0</v>
      </c>
      <c r="K37" s="227"/>
      <c r="L37" s="313"/>
      <c r="M37" s="950"/>
      <c r="N37" s="950"/>
      <c r="O37" s="951"/>
      <c r="P37" s="189"/>
    </row>
    <row r="38" spans="1:16" s="73" customFormat="1">
      <c r="A38" s="194"/>
      <c r="B38" s="92" t="s">
        <v>4</v>
      </c>
      <c r="C38" s="68"/>
      <c r="D38" s="105"/>
      <c r="E38" s="106">
        <f>+D38-C38</f>
        <v>0</v>
      </c>
      <c r="F38" s="107">
        <f t="shared" si="6"/>
        <v>0</v>
      </c>
      <c r="G38" s="163"/>
      <c r="H38" s="313"/>
      <c r="I38" s="177">
        <f>+'Provider Total Budget by Serv'!G104</f>
        <v>0</v>
      </c>
      <c r="J38" s="163">
        <f>IF(I38+C38=0,0,(IF(AND(I38=0,C38&gt;0),-1,(IF(AND(I38&gt;0,C38=0),1,+I38/C38-1)))))</f>
        <v>0</v>
      </c>
      <c r="K38" s="227"/>
      <c r="L38" s="313"/>
      <c r="M38" s="950">
        <f>+'Home Delivered Meal Budget'!M40</f>
        <v>0</v>
      </c>
      <c r="N38" s="950"/>
      <c r="O38" s="951"/>
      <c r="P38" s="189"/>
    </row>
    <row r="39" spans="1:16" s="73" customFormat="1">
      <c r="A39" s="194"/>
      <c r="B39" s="92" t="s">
        <v>210</v>
      </c>
      <c r="C39" s="68"/>
      <c r="D39" s="105"/>
      <c r="E39" s="106">
        <f>+D39-C39</f>
        <v>0</v>
      </c>
      <c r="F39" s="107">
        <f t="shared" si="6"/>
        <v>0</v>
      </c>
      <c r="G39" s="163"/>
      <c r="H39" s="313"/>
      <c r="I39" s="177">
        <f>+'Provider Total Budget by Serv'!G109</f>
        <v>0</v>
      </c>
      <c r="J39" s="163">
        <f>IF(I39+C39=0,0,(IF(AND(I39=0,C39&gt;0),-1,(IF(AND(I39&gt;0,C39=0),1,+I39/C39-1)))))</f>
        <v>0</v>
      </c>
      <c r="K39" s="227"/>
      <c r="L39" s="313"/>
      <c r="M39" s="950">
        <f>+'Home Delivered Meal Budget'!M41</f>
        <v>0</v>
      </c>
      <c r="N39" s="950"/>
      <c r="O39" s="951"/>
      <c r="P39" s="189"/>
    </row>
    <row r="40" spans="1:16" s="73" customFormat="1">
      <c r="A40" s="194"/>
      <c r="B40" s="93" t="s">
        <v>211</v>
      </c>
      <c r="C40" s="69"/>
      <c r="D40" s="341"/>
      <c r="E40" s="342">
        <f>+D40-C40</f>
        <v>0</v>
      </c>
      <c r="F40" s="343">
        <f t="shared" si="6"/>
        <v>0</v>
      </c>
      <c r="G40" s="161"/>
      <c r="H40" s="313"/>
      <c r="I40" s="178">
        <f>+'Provider Total Budget by Serv'!G114</f>
        <v>0</v>
      </c>
      <c r="J40" s="161">
        <f>IF(I40+C40=0,0,(IF(AND(I40=0,C40&gt;0),-1,(IF(AND(I40&gt;0,C40=0),1,+I40/C40-1)))))</f>
        <v>0</v>
      </c>
      <c r="K40" s="228"/>
      <c r="L40" s="313"/>
      <c r="M40" s="950">
        <f>+'Home Delivered Meal Budget'!M42</f>
        <v>0</v>
      </c>
      <c r="N40" s="950"/>
      <c r="O40" s="951"/>
      <c r="P40" s="189"/>
    </row>
    <row r="41" spans="1:16" s="73" customFormat="1">
      <c r="A41" s="194"/>
      <c r="B41" s="93" t="s">
        <v>1</v>
      </c>
      <c r="C41" s="75">
        <f>SUM(C37:C40)</f>
        <v>0</v>
      </c>
      <c r="D41" s="76">
        <f>SUM(D37:D40)</f>
        <v>0</v>
      </c>
      <c r="E41" s="106">
        <f>+D41-C41</f>
        <v>0</v>
      </c>
      <c r="F41" s="345">
        <f t="shared" si="6"/>
        <v>0</v>
      </c>
      <c r="G41" s="161">
        <f>IF(AND(C41&gt;0,C$80&gt;0),+C41/C$80,0)</f>
        <v>0</v>
      </c>
      <c r="H41" s="313"/>
      <c r="I41" s="179">
        <f>SUM(I37:I40)</f>
        <v>0</v>
      </c>
      <c r="J41" s="161">
        <f>IF(I41+C41=0,0,(IF(AND(I41=0,C41&gt;0),-1,(IF(AND(I41&gt;0,C41=0),1,+I41/C41-1)))))</f>
        <v>0</v>
      </c>
      <c r="K41" s="347" t="e">
        <f>IF(AND(I41&gt;0,I$80&gt;0),+I41/I$80,0)</f>
        <v>#DIV/0!</v>
      </c>
      <c r="L41" s="313"/>
      <c r="M41" s="950">
        <f>+'Home Delivered Meal Budget'!M43</f>
        <v>0</v>
      </c>
      <c r="N41" s="950"/>
      <c r="O41" s="951"/>
      <c r="P41" s="189"/>
    </row>
    <row r="42" spans="1:16" s="73" customFormat="1" ht="13">
      <c r="A42" s="195"/>
      <c r="B42" s="725" t="s">
        <v>234</v>
      </c>
      <c r="C42" s="725"/>
      <c r="D42" s="725"/>
      <c r="E42" s="725"/>
      <c r="F42" s="725"/>
      <c r="G42" s="785"/>
      <c r="H42" s="313"/>
      <c r="I42" s="445"/>
      <c r="J42" s="349"/>
      <c r="K42" s="446"/>
      <c r="L42" s="313"/>
      <c r="M42" s="603"/>
      <c r="N42" s="603"/>
      <c r="O42" s="603"/>
      <c r="P42" s="189"/>
    </row>
    <row r="43" spans="1:16" s="73" customFormat="1">
      <c r="A43" s="193"/>
      <c r="B43" s="92" t="s">
        <v>6</v>
      </c>
      <c r="C43" s="67"/>
      <c r="D43" s="105"/>
      <c r="E43" s="106">
        <f t="shared" ref="E43:E52" si="7">+D43-C43</f>
        <v>0</v>
      </c>
      <c r="F43" s="107">
        <f t="shared" ref="F43:F52" si="8">IF(+C43+D43=0,0,(IF(AND(+C43=0,D43&gt;0),1,(IF(AND(+C43&gt;0,D43=0),-1,+C43/+D43-1)))))</f>
        <v>0</v>
      </c>
      <c r="G43" s="163"/>
      <c r="H43" s="313"/>
      <c r="I43" s="199">
        <f>+'Provider Total Budget by Serv'!G121</f>
        <v>0</v>
      </c>
      <c r="J43" s="163">
        <f t="shared" ref="J43:J52" si="9">IF(I43+C43=0,0,(IF(AND(I43=0,C43&gt;0),-1,(IF(AND(I43&gt;0,C43=0),1,+I43/C43-1)))))</f>
        <v>0</v>
      </c>
      <c r="K43" s="227"/>
      <c r="L43" s="313"/>
      <c r="M43" s="950"/>
      <c r="N43" s="950"/>
      <c r="O43" s="951"/>
      <c r="P43" s="189"/>
    </row>
    <row r="44" spans="1:16" s="73" customFormat="1">
      <c r="A44" s="194"/>
      <c r="B44" s="92" t="s">
        <v>7</v>
      </c>
      <c r="C44" s="68"/>
      <c r="D44" s="105"/>
      <c r="E44" s="106">
        <f t="shared" si="7"/>
        <v>0</v>
      </c>
      <c r="F44" s="107">
        <f t="shared" si="8"/>
        <v>0</v>
      </c>
      <c r="G44" s="163"/>
      <c r="H44" s="313"/>
      <c r="I44" s="177">
        <f>+'Provider Total Budget by Serv'!G126</f>
        <v>0</v>
      </c>
      <c r="J44" s="163">
        <f t="shared" si="9"/>
        <v>0</v>
      </c>
      <c r="K44" s="227"/>
      <c r="L44" s="313"/>
      <c r="M44" s="950">
        <f>+'Home Delivered Meal Budget'!M46</f>
        <v>0</v>
      </c>
      <c r="N44" s="950"/>
      <c r="O44" s="951"/>
      <c r="P44" s="189"/>
    </row>
    <row r="45" spans="1:16" s="73" customFormat="1">
      <c r="A45" s="194"/>
      <c r="B45" s="92" t="s">
        <v>209</v>
      </c>
      <c r="C45" s="68"/>
      <c r="D45" s="105"/>
      <c r="E45" s="106">
        <f t="shared" si="7"/>
        <v>0</v>
      </c>
      <c r="F45" s="107">
        <f t="shared" si="8"/>
        <v>0</v>
      </c>
      <c r="G45" s="357"/>
      <c r="H45" s="313"/>
      <c r="I45" s="177">
        <f>+'Provider Total Budget by Serv'!G131</f>
        <v>0</v>
      </c>
      <c r="J45" s="163">
        <f t="shared" si="9"/>
        <v>0</v>
      </c>
      <c r="K45" s="227"/>
      <c r="L45" s="313"/>
      <c r="M45" s="950">
        <f>+'Home Delivered Meal Budget'!M47</f>
        <v>0</v>
      </c>
      <c r="N45" s="950"/>
      <c r="O45" s="951"/>
      <c r="P45" s="189"/>
    </row>
    <row r="46" spans="1:16" s="73" customFormat="1">
      <c r="A46" s="194"/>
      <c r="B46" s="92" t="s">
        <v>39</v>
      </c>
      <c r="C46" s="68"/>
      <c r="D46" s="105"/>
      <c r="E46" s="106">
        <f t="shared" si="7"/>
        <v>0</v>
      </c>
      <c r="F46" s="107">
        <f t="shared" si="8"/>
        <v>0</v>
      </c>
      <c r="G46" s="163"/>
      <c r="H46" s="313"/>
      <c r="I46" s="177">
        <f>+'Provider Total Budget by Serv'!G136</f>
        <v>0</v>
      </c>
      <c r="J46" s="163">
        <f t="shared" si="9"/>
        <v>0</v>
      </c>
      <c r="K46" s="227"/>
      <c r="L46" s="313"/>
      <c r="M46" s="950">
        <f>+'Home Delivered Meal Budget'!M48</f>
        <v>0</v>
      </c>
      <c r="N46" s="950"/>
      <c r="O46" s="951"/>
      <c r="P46" s="189"/>
    </row>
    <row r="47" spans="1:16" s="73" customFormat="1">
      <c r="A47" s="194"/>
      <c r="B47" s="92" t="s">
        <v>212</v>
      </c>
      <c r="C47" s="68"/>
      <c r="D47" s="105"/>
      <c r="E47" s="106">
        <f t="shared" si="7"/>
        <v>0</v>
      </c>
      <c r="F47" s="107">
        <f t="shared" si="8"/>
        <v>0</v>
      </c>
      <c r="G47" s="163"/>
      <c r="H47" s="313"/>
      <c r="I47" s="177">
        <f>+'Provider Total Budget by Serv'!G141</f>
        <v>0</v>
      </c>
      <c r="J47" s="163">
        <f t="shared" si="9"/>
        <v>0</v>
      </c>
      <c r="K47" s="227"/>
      <c r="L47" s="313"/>
      <c r="M47" s="950">
        <f>+'Home Delivered Meal Budget'!M49</f>
        <v>0</v>
      </c>
      <c r="N47" s="950"/>
      <c r="O47" s="951"/>
      <c r="P47" s="189"/>
    </row>
    <row r="48" spans="1:16" s="73" customFormat="1">
      <c r="A48" s="194"/>
      <c r="B48" s="92" t="s">
        <v>8</v>
      </c>
      <c r="C48" s="68"/>
      <c r="D48" s="105"/>
      <c r="E48" s="106">
        <f t="shared" si="7"/>
        <v>0</v>
      </c>
      <c r="F48" s="107">
        <f t="shared" si="8"/>
        <v>0</v>
      </c>
      <c r="G48" s="357"/>
      <c r="H48" s="313"/>
      <c r="I48" s="177">
        <f>+'Provider Total Budget by Serv'!G146</f>
        <v>0</v>
      </c>
      <c r="J48" s="163">
        <f t="shared" si="9"/>
        <v>0</v>
      </c>
      <c r="K48" s="227"/>
      <c r="L48" s="313"/>
      <c r="M48" s="950">
        <f>+'Home Delivered Meal Budget'!M50</f>
        <v>0</v>
      </c>
      <c r="N48" s="950"/>
      <c r="O48" s="951"/>
      <c r="P48" s="189"/>
    </row>
    <row r="49" spans="1:16" s="73" customFormat="1">
      <c r="A49" s="194"/>
      <c r="B49" s="92" t="s">
        <v>9</v>
      </c>
      <c r="C49" s="68"/>
      <c r="D49" s="105"/>
      <c r="E49" s="106">
        <f t="shared" si="7"/>
        <v>0</v>
      </c>
      <c r="F49" s="107">
        <f t="shared" si="8"/>
        <v>0</v>
      </c>
      <c r="G49" s="163"/>
      <c r="H49" s="313"/>
      <c r="I49" s="177">
        <f>+'Provider Total Budget by Serv'!G151</f>
        <v>0</v>
      </c>
      <c r="J49" s="163">
        <f t="shared" si="9"/>
        <v>0</v>
      </c>
      <c r="K49" s="227"/>
      <c r="L49" s="313"/>
      <c r="M49" s="950">
        <f>+'Home Delivered Meal Budget'!M51</f>
        <v>0</v>
      </c>
      <c r="N49" s="950"/>
      <c r="O49" s="951"/>
      <c r="P49" s="189"/>
    </row>
    <row r="50" spans="1:16" s="73" customFormat="1">
      <c r="A50" s="194"/>
      <c r="B50" s="92" t="s">
        <v>213</v>
      </c>
      <c r="C50" s="68"/>
      <c r="D50" s="105"/>
      <c r="E50" s="106">
        <f t="shared" si="7"/>
        <v>0</v>
      </c>
      <c r="F50" s="107">
        <f t="shared" si="8"/>
        <v>0</v>
      </c>
      <c r="G50" s="163"/>
      <c r="H50" s="313"/>
      <c r="I50" s="177">
        <f>+'Provider Total Budget by Serv'!G156</f>
        <v>0</v>
      </c>
      <c r="J50" s="163">
        <f t="shared" si="9"/>
        <v>0</v>
      </c>
      <c r="K50" s="227"/>
      <c r="L50" s="313"/>
      <c r="M50" s="950">
        <f>+'Home Delivered Meal Budget'!M52</f>
        <v>0</v>
      </c>
      <c r="N50" s="950"/>
      <c r="O50" s="951"/>
      <c r="P50" s="189"/>
    </row>
    <row r="51" spans="1:16" s="73" customFormat="1">
      <c r="A51" s="194"/>
      <c r="B51" s="93" t="s">
        <v>214</v>
      </c>
      <c r="C51" s="69"/>
      <c r="D51" s="341"/>
      <c r="E51" s="342">
        <f t="shared" si="7"/>
        <v>0</v>
      </c>
      <c r="F51" s="343">
        <f t="shared" si="8"/>
        <v>0</v>
      </c>
      <c r="G51" s="161"/>
      <c r="H51" s="313"/>
      <c r="I51" s="178">
        <f>+'Provider Total Budget by Serv'!G161</f>
        <v>0</v>
      </c>
      <c r="J51" s="161">
        <f t="shared" si="9"/>
        <v>0</v>
      </c>
      <c r="K51" s="228"/>
      <c r="L51" s="313"/>
      <c r="M51" s="950">
        <f>+'Home Delivered Meal Budget'!M53</f>
        <v>0</v>
      </c>
      <c r="N51" s="950"/>
      <c r="O51" s="951"/>
      <c r="P51" s="189"/>
    </row>
    <row r="52" spans="1:16" s="73" customFormat="1">
      <c r="A52" s="194"/>
      <c r="B52" s="93" t="s">
        <v>1</v>
      </c>
      <c r="C52" s="75">
        <f>SUM(C43:C51)</f>
        <v>0</v>
      </c>
      <c r="D52" s="76">
        <f>SUM(D43:D51)</f>
        <v>0</v>
      </c>
      <c r="E52" s="106">
        <f t="shared" si="7"/>
        <v>0</v>
      </c>
      <c r="F52" s="345">
        <f t="shared" si="8"/>
        <v>0</v>
      </c>
      <c r="G52" s="161">
        <f>IF(AND(C52&gt;0,C$80&gt;0),+C52/C$80,0)</f>
        <v>0</v>
      </c>
      <c r="H52" s="313"/>
      <c r="I52" s="179">
        <f>SUM(I43:I51)</f>
        <v>0</v>
      </c>
      <c r="J52" s="161">
        <f t="shared" si="9"/>
        <v>0</v>
      </c>
      <c r="K52" s="347" t="e">
        <f>IF(AND(I52&gt;0,I$80&gt;0),+I52/I$80,0)</f>
        <v>#DIV/0!</v>
      </c>
      <c r="L52" s="313"/>
      <c r="M52" s="950">
        <f>+'Home Delivered Meal Budget'!M54</f>
        <v>0</v>
      </c>
      <c r="N52" s="950"/>
      <c r="O52" s="951"/>
      <c r="P52" s="189"/>
    </row>
    <row r="53" spans="1:16" s="73" customFormat="1" ht="13">
      <c r="A53" s="195"/>
      <c r="B53" s="725" t="s">
        <v>235</v>
      </c>
      <c r="C53" s="725"/>
      <c r="D53" s="725"/>
      <c r="E53" s="725"/>
      <c r="F53" s="725"/>
      <c r="G53" s="785"/>
      <c r="H53" s="313"/>
      <c r="I53" s="445"/>
      <c r="J53" s="349"/>
      <c r="K53" s="446"/>
      <c r="L53" s="313"/>
      <c r="M53" s="602"/>
      <c r="N53" s="602"/>
      <c r="O53" s="602"/>
      <c r="P53" s="189"/>
    </row>
    <row r="54" spans="1:16" s="73" customFormat="1">
      <c r="A54" s="193"/>
      <c r="B54" s="92" t="s">
        <v>27</v>
      </c>
      <c r="C54" s="67"/>
      <c r="D54" s="105"/>
      <c r="E54" s="106">
        <f t="shared" ref="E54:E62" si="10">+D54-C54</f>
        <v>0</v>
      </c>
      <c r="F54" s="107">
        <f t="shared" ref="F54:F62" si="11">IF(+C54+D54=0,0,(IF(AND(+C54=0,D54&gt;0),1,(IF(AND(+C54&gt;0,D54=0),-1,+C54/+D54-1)))))</f>
        <v>0</v>
      </c>
      <c r="G54" s="361"/>
      <c r="H54" s="313"/>
      <c r="I54" s="177">
        <f>+'Provider Total Budget by Serv'!G168</f>
        <v>0</v>
      </c>
      <c r="J54" s="163">
        <f t="shared" ref="J54:J62" si="12">IF(I54+C54=0,0,(IF(AND(I54=0,C54&gt;0),-1,(IF(AND(I54&gt;0,C54=0),1,+I54/C54-1)))))</f>
        <v>0</v>
      </c>
      <c r="K54" s="227"/>
      <c r="L54" s="313"/>
      <c r="M54" s="950"/>
      <c r="N54" s="950"/>
      <c r="O54" s="951"/>
      <c r="P54" s="189"/>
    </row>
    <row r="55" spans="1:16" s="73" customFormat="1">
      <c r="A55" s="194"/>
      <c r="B55" s="92" t="s">
        <v>22</v>
      </c>
      <c r="C55" s="68"/>
      <c r="D55" s="105"/>
      <c r="E55" s="106">
        <f t="shared" si="10"/>
        <v>0</v>
      </c>
      <c r="F55" s="107">
        <f t="shared" si="11"/>
        <v>0</v>
      </c>
      <c r="G55" s="362"/>
      <c r="H55" s="313"/>
      <c r="I55" s="177">
        <f>+'Provider Total Budget by Serv'!G173</f>
        <v>0</v>
      </c>
      <c r="J55" s="163">
        <f t="shared" si="12"/>
        <v>0</v>
      </c>
      <c r="K55" s="227"/>
      <c r="L55" s="313"/>
      <c r="M55" s="950">
        <f>+'Home Delivered Meal Budget'!M57</f>
        <v>0</v>
      </c>
      <c r="N55" s="950"/>
      <c r="O55" s="951"/>
      <c r="P55" s="189"/>
    </row>
    <row r="56" spans="1:16" s="73" customFormat="1">
      <c r="A56" s="194"/>
      <c r="B56" s="92" t="s">
        <v>23</v>
      </c>
      <c r="C56" s="68"/>
      <c r="D56" s="105"/>
      <c r="E56" s="106">
        <f t="shared" si="10"/>
        <v>0</v>
      </c>
      <c r="F56" s="107">
        <f t="shared" si="11"/>
        <v>0</v>
      </c>
      <c r="G56" s="362"/>
      <c r="H56" s="313"/>
      <c r="I56" s="177">
        <f>+'Provider Total Budget by Serv'!G178</f>
        <v>0</v>
      </c>
      <c r="J56" s="163">
        <f t="shared" si="12"/>
        <v>0</v>
      </c>
      <c r="K56" s="227"/>
      <c r="L56" s="313"/>
      <c r="M56" s="950">
        <f>+'Home Delivered Meal Budget'!M58</f>
        <v>0</v>
      </c>
      <c r="N56" s="950"/>
      <c r="O56" s="951"/>
      <c r="P56" s="189"/>
    </row>
    <row r="57" spans="1:16" s="73" customFormat="1">
      <c r="A57" s="194"/>
      <c r="B57" s="92" t="s">
        <v>217</v>
      </c>
      <c r="C57" s="68"/>
      <c r="D57" s="105"/>
      <c r="E57" s="106">
        <f t="shared" si="10"/>
        <v>0</v>
      </c>
      <c r="F57" s="107">
        <f t="shared" si="11"/>
        <v>0</v>
      </c>
      <c r="G57" s="362"/>
      <c r="H57" s="313"/>
      <c r="I57" s="177">
        <f>+'Provider Total Budget by Serv'!G183</f>
        <v>0</v>
      </c>
      <c r="J57" s="163">
        <f t="shared" si="12"/>
        <v>0</v>
      </c>
      <c r="K57" s="227"/>
      <c r="L57" s="313"/>
      <c r="M57" s="950">
        <f>+'Home Delivered Meal Budget'!M59</f>
        <v>0</v>
      </c>
      <c r="N57" s="950"/>
      <c r="O57" s="951"/>
      <c r="P57" s="189"/>
    </row>
    <row r="58" spans="1:16" s="73" customFormat="1">
      <c r="A58" s="194"/>
      <c r="B58" s="92" t="s">
        <v>212</v>
      </c>
      <c r="C58" s="68"/>
      <c r="D58" s="105"/>
      <c r="E58" s="106">
        <f t="shared" si="10"/>
        <v>0</v>
      </c>
      <c r="F58" s="107">
        <f t="shared" si="11"/>
        <v>0</v>
      </c>
      <c r="G58" s="362"/>
      <c r="H58" s="313"/>
      <c r="I58" s="177">
        <f>+'Provider Total Budget by Serv'!G188</f>
        <v>0</v>
      </c>
      <c r="J58" s="163">
        <f t="shared" si="12"/>
        <v>0</v>
      </c>
      <c r="K58" s="227"/>
      <c r="L58" s="313"/>
      <c r="M58" s="950">
        <f>+'Home Delivered Meal Budget'!M60</f>
        <v>0</v>
      </c>
      <c r="N58" s="950"/>
      <c r="O58" s="951"/>
      <c r="P58" s="189"/>
    </row>
    <row r="59" spans="1:16" s="73" customFormat="1">
      <c r="A59" s="194"/>
      <c r="B59" s="92" t="s">
        <v>218</v>
      </c>
      <c r="C59" s="68"/>
      <c r="D59" s="105"/>
      <c r="E59" s="106">
        <f t="shared" si="10"/>
        <v>0</v>
      </c>
      <c r="F59" s="107">
        <f t="shared" si="11"/>
        <v>0</v>
      </c>
      <c r="G59" s="163"/>
      <c r="H59" s="313"/>
      <c r="I59" s="177">
        <f>+'Provider Total Budget by Serv'!G193</f>
        <v>0</v>
      </c>
      <c r="J59" s="163">
        <f t="shared" si="12"/>
        <v>0</v>
      </c>
      <c r="K59" s="227"/>
      <c r="L59" s="313"/>
      <c r="M59" s="950">
        <f>+'Home Delivered Meal Budget'!M61</f>
        <v>0</v>
      </c>
      <c r="N59" s="950"/>
      <c r="O59" s="951"/>
      <c r="P59" s="189"/>
    </row>
    <row r="60" spans="1:16" s="73" customFormat="1">
      <c r="A60" s="194"/>
      <c r="B60" s="92" t="s">
        <v>4</v>
      </c>
      <c r="C60" s="68"/>
      <c r="D60" s="105"/>
      <c r="E60" s="106">
        <f t="shared" si="10"/>
        <v>0</v>
      </c>
      <c r="F60" s="107">
        <f t="shared" si="11"/>
        <v>0</v>
      </c>
      <c r="G60" s="163"/>
      <c r="H60" s="313"/>
      <c r="I60" s="177">
        <f>+'Provider Total Budget by Serv'!G198</f>
        <v>0</v>
      </c>
      <c r="J60" s="163">
        <f t="shared" si="12"/>
        <v>0</v>
      </c>
      <c r="K60" s="227"/>
      <c r="L60" s="313"/>
      <c r="M60" s="950">
        <f>+'Home Delivered Meal Budget'!M62</f>
        <v>0</v>
      </c>
      <c r="N60" s="950"/>
      <c r="O60" s="951"/>
      <c r="P60" s="189"/>
    </row>
    <row r="61" spans="1:16" s="73" customFormat="1">
      <c r="A61" s="194"/>
      <c r="B61" s="93" t="s">
        <v>29</v>
      </c>
      <c r="C61" s="69"/>
      <c r="D61" s="341"/>
      <c r="E61" s="342">
        <f t="shared" si="10"/>
        <v>0</v>
      </c>
      <c r="F61" s="343">
        <f t="shared" si="11"/>
        <v>0</v>
      </c>
      <c r="G61" s="161"/>
      <c r="H61" s="313"/>
      <c r="I61" s="178">
        <f>+'Provider Total Budget by Serv'!G203</f>
        <v>0</v>
      </c>
      <c r="J61" s="161">
        <f t="shared" si="12"/>
        <v>0</v>
      </c>
      <c r="K61" s="228"/>
      <c r="L61" s="313"/>
      <c r="M61" s="950">
        <f>+'Home Delivered Meal Budget'!M63</f>
        <v>0</v>
      </c>
      <c r="N61" s="950"/>
      <c r="O61" s="951"/>
      <c r="P61" s="189"/>
    </row>
    <row r="62" spans="1:16" s="73" customFormat="1">
      <c r="A62" s="194"/>
      <c r="B62" s="93" t="s">
        <v>1</v>
      </c>
      <c r="C62" s="75">
        <f>SUM(C54:C61)</f>
        <v>0</v>
      </c>
      <c r="D62" s="76">
        <f>SUM(D54:D61)</f>
        <v>0</v>
      </c>
      <c r="E62" s="106">
        <f t="shared" si="10"/>
        <v>0</v>
      </c>
      <c r="F62" s="345">
        <f t="shared" si="11"/>
        <v>0</v>
      </c>
      <c r="G62" s="161">
        <f>IF(AND(C62&gt;0,C$80&gt;0),+C62/C$80,0)</f>
        <v>0</v>
      </c>
      <c r="H62" s="313"/>
      <c r="I62" s="179">
        <f>SUM(I54:I61)</f>
        <v>0</v>
      </c>
      <c r="J62" s="161">
        <f t="shared" si="12"/>
        <v>0</v>
      </c>
      <c r="K62" s="347" t="e">
        <f>IF(AND(I62&gt;0,I$80&gt;0),+I62/I$80,0)</f>
        <v>#DIV/0!</v>
      </c>
      <c r="L62" s="313"/>
      <c r="M62" s="950">
        <f>+'Home Delivered Meal Budget'!M64</f>
        <v>0</v>
      </c>
      <c r="N62" s="950"/>
      <c r="O62" s="951"/>
      <c r="P62" s="189"/>
    </row>
    <row r="63" spans="1:16" s="73" customFormat="1" ht="13">
      <c r="A63" s="195"/>
      <c r="B63" s="725" t="s">
        <v>236</v>
      </c>
      <c r="C63" s="725"/>
      <c r="D63" s="725"/>
      <c r="E63" s="725"/>
      <c r="F63" s="725"/>
      <c r="G63" s="785"/>
      <c r="H63" s="313"/>
      <c r="I63" s="445"/>
      <c r="J63" s="349"/>
      <c r="K63" s="446"/>
      <c r="L63" s="313"/>
      <c r="M63" s="602"/>
      <c r="N63" s="602"/>
      <c r="O63" s="602"/>
      <c r="P63" s="189"/>
    </row>
    <row r="64" spans="1:16" s="73" customFormat="1">
      <c r="A64" s="193"/>
      <c r="B64" s="92" t="s">
        <v>18</v>
      </c>
      <c r="C64" s="68"/>
      <c r="D64" s="105"/>
      <c r="E64" s="106">
        <f t="shared" ref="E64:E78" si="13">+D64-C64</f>
        <v>0</v>
      </c>
      <c r="F64" s="107">
        <f t="shared" ref="F64:F78" si="14">IF(+C64+D64=0,0,(IF(AND(+C64=0,D64&gt;0),1,(IF(AND(+C64&gt;0,D64=0),-1,+C64/+D64-1)))))</f>
        <v>0</v>
      </c>
      <c r="G64" s="362"/>
      <c r="H64" s="313"/>
      <c r="I64" s="177">
        <f>+'Provider Total Budget by Serv'!G210</f>
        <v>0</v>
      </c>
      <c r="J64" s="163">
        <f t="shared" ref="J64:J78" si="15">IF(I64+C64=0,0,(IF(AND(I64=0,C64&gt;0),-1,(IF(AND(I64&gt;0,C64=0),1,+I64/C64-1)))))</f>
        <v>0</v>
      </c>
      <c r="K64" s="227"/>
      <c r="L64" s="313"/>
      <c r="M64" s="950"/>
      <c r="N64" s="950"/>
      <c r="O64" s="951"/>
      <c r="P64" s="189"/>
    </row>
    <row r="65" spans="1:16" s="73" customFormat="1">
      <c r="A65" s="194"/>
      <c r="B65" s="92" t="s">
        <v>10</v>
      </c>
      <c r="C65" s="68"/>
      <c r="D65" s="105"/>
      <c r="E65" s="106">
        <f t="shared" si="13"/>
        <v>0</v>
      </c>
      <c r="F65" s="107">
        <f t="shared" si="14"/>
        <v>0</v>
      </c>
      <c r="G65" s="362"/>
      <c r="H65" s="313"/>
      <c r="I65" s="177">
        <f>+'Provider Total Budget by Serv'!G215</f>
        <v>0</v>
      </c>
      <c r="J65" s="163">
        <f t="shared" si="15"/>
        <v>0</v>
      </c>
      <c r="K65" s="227"/>
      <c r="L65" s="313"/>
      <c r="M65" s="950">
        <f>+'Home Delivered Meal Budget'!M67</f>
        <v>0</v>
      </c>
      <c r="N65" s="950"/>
      <c r="O65" s="951"/>
      <c r="P65" s="189"/>
    </row>
    <row r="66" spans="1:16" s="73" customFormat="1">
      <c r="A66" s="194"/>
      <c r="B66" s="92" t="s">
        <v>11</v>
      </c>
      <c r="C66" s="68"/>
      <c r="D66" s="105"/>
      <c r="E66" s="106">
        <f t="shared" si="13"/>
        <v>0</v>
      </c>
      <c r="F66" s="107">
        <f t="shared" si="14"/>
        <v>0</v>
      </c>
      <c r="G66" s="362"/>
      <c r="H66" s="313"/>
      <c r="I66" s="177">
        <f>+'Provider Total Budget by Serv'!G220</f>
        <v>0</v>
      </c>
      <c r="J66" s="163">
        <f t="shared" si="15"/>
        <v>0</v>
      </c>
      <c r="K66" s="227"/>
      <c r="L66" s="313"/>
      <c r="M66" s="950">
        <f>+'Home Delivered Meal Budget'!M68</f>
        <v>0</v>
      </c>
      <c r="N66" s="950"/>
      <c r="O66" s="951"/>
      <c r="P66" s="189"/>
    </row>
    <row r="67" spans="1:16" s="73" customFormat="1">
      <c r="A67" s="194"/>
      <c r="B67" s="92" t="s">
        <v>12</v>
      </c>
      <c r="C67" s="68"/>
      <c r="D67" s="105"/>
      <c r="E67" s="106">
        <f t="shared" si="13"/>
        <v>0</v>
      </c>
      <c r="F67" s="107">
        <f t="shared" si="14"/>
        <v>0</v>
      </c>
      <c r="G67" s="362"/>
      <c r="H67" s="313"/>
      <c r="I67" s="177">
        <f>+'Provider Total Budget by Serv'!G225</f>
        <v>0</v>
      </c>
      <c r="J67" s="163">
        <f t="shared" si="15"/>
        <v>0</v>
      </c>
      <c r="K67" s="227"/>
      <c r="L67" s="313"/>
      <c r="M67" s="950">
        <f>+'Home Delivered Meal Budget'!M69</f>
        <v>0</v>
      </c>
      <c r="N67" s="950"/>
      <c r="O67" s="951"/>
      <c r="P67" s="189"/>
    </row>
    <row r="68" spans="1:16" s="73" customFormat="1">
      <c r="A68" s="194"/>
      <c r="B68" s="92" t="s">
        <v>19</v>
      </c>
      <c r="C68" s="68"/>
      <c r="D68" s="105"/>
      <c r="E68" s="106">
        <f t="shared" si="13"/>
        <v>0</v>
      </c>
      <c r="F68" s="107">
        <f t="shared" si="14"/>
        <v>0</v>
      </c>
      <c r="G68" s="163"/>
      <c r="H68" s="313"/>
      <c r="I68" s="177">
        <f>+'Provider Total Budget by Serv'!G230</f>
        <v>0</v>
      </c>
      <c r="J68" s="163">
        <f t="shared" si="15"/>
        <v>0</v>
      </c>
      <c r="K68" s="227"/>
      <c r="L68" s="313"/>
      <c r="M68" s="950">
        <f>+'Home Delivered Meal Budget'!M70</f>
        <v>0</v>
      </c>
      <c r="N68" s="950"/>
      <c r="O68" s="951"/>
      <c r="P68" s="189"/>
    </row>
    <row r="69" spans="1:16" s="73" customFormat="1">
      <c r="A69" s="194"/>
      <c r="B69" s="92" t="s">
        <v>13</v>
      </c>
      <c r="C69" s="68"/>
      <c r="D69" s="105"/>
      <c r="E69" s="106">
        <f t="shared" si="13"/>
        <v>0</v>
      </c>
      <c r="F69" s="107">
        <f t="shared" si="14"/>
        <v>0</v>
      </c>
      <c r="G69" s="163"/>
      <c r="H69" s="313"/>
      <c r="I69" s="177">
        <f>+'Provider Total Budget by Serv'!G235</f>
        <v>0</v>
      </c>
      <c r="J69" s="163">
        <f t="shared" si="15"/>
        <v>0</v>
      </c>
      <c r="K69" s="227"/>
      <c r="L69" s="313"/>
      <c r="M69" s="950">
        <f>+'Home Delivered Meal Budget'!M71</f>
        <v>0</v>
      </c>
      <c r="N69" s="950"/>
      <c r="O69" s="951"/>
      <c r="P69" s="189"/>
    </row>
    <row r="70" spans="1:16" s="73" customFormat="1">
      <c r="A70" s="194"/>
      <c r="B70" s="92" t="s">
        <v>14</v>
      </c>
      <c r="C70" s="68"/>
      <c r="D70" s="105"/>
      <c r="E70" s="106">
        <f t="shared" si="13"/>
        <v>0</v>
      </c>
      <c r="F70" s="107">
        <f t="shared" si="14"/>
        <v>0</v>
      </c>
      <c r="G70" s="362"/>
      <c r="H70" s="313"/>
      <c r="I70" s="177">
        <f>+'Provider Total Budget by Serv'!G240</f>
        <v>0</v>
      </c>
      <c r="J70" s="163">
        <f t="shared" si="15"/>
        <v>0</v>
      </c>
      <c r="K70" s="227"/>
      <c r="L70" s="313"/>
      <c r="M70" s="950">
        <f>+'Home Delivered Meal Budget'!M72</f>
        <v>0</v>
      </c>
      <c r="N70" s="950"/>
      <c r="O70" s="951"/>
      <c r="P70" s="189"/>
    </row>
    <row r="71" spans="1:16" s="73" customFormat="1">
      <c r="A71" s="194"/>
      <c r="B71" s="92" t="s">
        <v>15</v>
      </c>
      <c r="C71" s="68"/>
      <c r="D71" s="105"/>
      <c r="E71" s="106">
        <f t="shared" si="13"/>
        <v>0</v>
      </c>
      <c r="F71" s="107">
        <f t="shared" si="14"/>
        <v>0</v>
      </c>
      <c r="G71" s="362"/>
      <c r="H71" s="313"/>
      <c r="I71" s="177">
        <f>+'Provider Total Budget by Serv'!G245</f>
        <v>0</v>
      </c>
      <c r="J71" s="163">
        <f t="shared" si="15"/>
        <v>0</v>
      </c>
      <c r="K71" s="227"/>
      <c r="L71" s="313"/>
      <c r="M71" s="950">
        <f>+'Home Delivered Meal Budget'!M73</f>
        <v>0</v>
      </c>
      <c r="N71" s="950"/>
      <c r="O71" s="951"/>
      <c r="P71" s="189"/>
    </row>
    <row r="72" spans="1:16" s="73" customFormat="1">
      <c r="A72" s="194"/>
      <c r="B72" s="92" t="s">
        <v>16</v>
      </c>
      <c r="C72" s="68"/>
      <c r="D72" s="105"/>
      <c r="E72" s="106">
        <f t="shared" si="13"/>
        <v>0</v>
      </c>
      <c r="F72" s="107">
        <f t="shared" si="14"/>
        <v>0</v>
      </c>
      <c r="G72" s="362"/>
      <c r="H72" s="313"/>
      <c r="I72" s="177">
        <f>+'Provider Total Budget by Serv'!G250</f>
        <v>0</v>
      </c>
      <c r="J72" s="163">
        <f t="shared" si="15"/>
        <v>0</v>
      </c>
      <c r="K72" s="227"/>
      <c r="L72" s="313"/>
      <c r="M72" s="950">
        <f>+'Home Delivered Meal Budget'!M74</f>
        <v>0</v>
      </c>
      <c r="N72" s="950"/>
      <c r="O72" s="951"/>
      <c r="P72" s="189"/>
    </row>
    <row r="73" spans="1:16" s="73" customFormat="1">
      <c r="A73" s="194"/>
      <c r="B73" s="92" t="s">
        <v>24</v>
      </c>
      <c r="C73" s="68"/>
      <c r="D73" s="105"/>
      <c r="E73" s="106">
        <f t="shared" si="13"/>
        <v>0</v>
      </c>
      <c r="F73" s="107">
        <f t="shared" si="14"/>
        <v>0</v>
      </c>
      <c r="G73" s="163"/>
      <c r="H73" s="313"/>
      <c r="I73" s="177">
        <f>+'Provider Total Budget by Serv'!G255</f>
        <v>0</v>
      </c>
      <c r="J73" s="163">
        <f t="shared" si="15"/>
        <v>0</v>
      </c>
      <c r="K73" s="227"/>
      <c r="L73" s="313"/>
      <c r="M73" s="950">
        <f>+'Home Delivered Meal Budget'!M75</f>
        <v>0</v>
      </c>
      <c r="N73" s="950"/>
      <c r="O73" s="951"/>
      <c r="P73" s="189"/>
    </row>
    <row r="74" spans="1:16" s="73" customFormat="1">
      <c r="A74" s="194"/>
      <c r="B74" s="92" t="s">
        <v>25</v>
      </c>
      <c r="C74" s="68"/>
      <c r="D74" s="105"/>
      <c r="E74" s="106">
        <f t="shared" si="13"/>
        <v>0</v>
      </c>
      <c r="F74" s="107">
        <f t="shared" si="14"/>
        <v>0</v>
      </c>
      <c r="G74" s="163"/>
      <c r="H74" s="313"/>
      <c r="I74" s="177">
        <f>+'Provider Total Budget by Serv'!G260</f>
        <v>0</v>
      </c>
      <c r="J74" s="163">
        <f t="shared" si="15"/>
        <v>0</v>
      </c>
      <c r="K74" s="227"/>
      <c r="L74" s="313"/>
      <c r="M74" s="950">
        <f>+'Home Delivered Meal Budget'!M76</f>
        <v>0</v>
      </c>
      <c r="N74" s="950"/>
      <c r="O74" s="951"/>
      <c r="P74" s="189"/>
    </row>
    <row r="75" spans="1:16" s="73" customFormat="1">
      <c r="A75" s="194"/>
      <c r="B75" s="92" t="s">
        <v>109</v>
      </c>
      <c r="C75" s="68"/>
      <c r="D75" s="105"/>
      <c r="E75" s="106">
        <f t="shared" si="13"/>
        <v>0</v>
      </c>
      <c r="F75" s="107">
        <f t="shared" si="14"/>
        <v>0</v>
      </c>
      <c r="G75" s="163"/>
      <c r="H75" s="313"/>
      <c r="I75" s="177">
        <f>+'Provider Total Budget by Serv'!G265</f>
        <v>0</v>
      </c>
      <c r="J75" s="163">
        <f t="shared" si="15"/>
        <v>0</v>
      </c>
      <c r="K75" s="227"/>
      <c r="L75" s="313"/>
      <c r="M75" s="950">
        <f>+'Home Delivered Meal Budget'!M77</f>
        <v>0</v>
      </c>
      <c r="N75" s="950"/>
      <c r="O75" s="951"/>
      <c r="P75" s="189"/>
    </row>
    <row r="76" spans="1:16" s="73" customFormat="1">
      <c r="A76" s="194"/>
      <c r="B76" s="92" t="s">
        <v>17</v>
      </c>
      <c r="C76" s="68"/>
      <c r="D76" s="105"/>
      <c r="E76" s="106">
        <f t="shared" si="13"/>
        <v>0</v>
      </c>
      <c r="F76" s="107">
        <f t="shared" si="14"/>
        <v>0</v>
      </c>
      <c r="G76" s="163"/>
      <c r="H76" s="313"/>
      <c r="I76" s="177">
        <f>+'Provider Total Budget by Serv'!G270</f>
        <v>0</v>
      </c>
      <c r="J76" s="163">
        <f t="shared" si="15"/>
        <v>0</v>
      </c>
      <c r="K76" s="227"/>
      <c r="L76" s="313"/>
      <c r="M76" s="950">
        <f>+'Home Delivered Meal Budget'!M78</f>
        <v>0</v>
      </c>
      <c r="N76" s="950"/>
      <c r="O76" s="951"/>
      <c r="P76" s="189"/>
    </row>
    <row r="77" spans="1:16" s="73" customFormat="1">
      <c r="A77" s="194"/>
      <c r="B77" s="93" t="s">
        <v>108</v>
      </c>
      <c r="C77" s="69"/>
      <c r="D77" s="341"/>
      <c r="E77" s="342">
        <f t="shared" si="13"/>
        <v>0</v>
      </c>
      <c r="F77" s="343">
        <f t="shared" si="14"/>
        <v>0</v>
      </c>
      <c r="G77" s="161"/>
      <c r="H77" s="313"/>
      <c r="I77" s="178">
        <f>+'Provider Total Budget by Serv'!G275</f>
        <v>0</v>
      </c>
      <c r="J77" s="161">
        <f t="shared" si="15"/>
        <v>0</v>
      </c>
      <c r="K77" s="228"/>
      <c r="L77" s="313"/>
      <c r="M77" s="950">
        <f>+'Home Delivered Meal Budget'!M79</f>
        <v>0</v>
      </c>
      <c r="N77" s="950"/>
      <c r="O77" s="951"/>
      <c r="P77" s="189"/>
    </row>
    <row r="78" spans="1:16" s="73" customFormat="1">
      <c r="A78" s="194"/>
      <c r="B78" s="93" t="s">
        <v>1</v>
      </c>
      <c r="C78" s="75">
        <f>SUM(C64:C77)</f>
        <v>0</v>
      </c>
      <c r="D78" s="344">
        <f>SUM(D64:D77)</f>
        <v>0</v>
      </c>
      <c r="E78" s="342">
        <f t="shared" si="13"/>
        <v>0</v>
      </c>
      <c r="F78" s="345">
        <f t="shared" si="14"/>
        <v>0</v>
      </c>
      <c r="G78" s="161">
        <f>IF(AND(C78&gt;0,C$80&gt;0),+C78/C$80,0)</f>
        <v>0</v>
      </c>
      <c r="H78" s="313"/>
      <c r="I78" s="447">
        <f>SUM(I64:I77)</f>
        <v>0</v>
      </c>
      <c r="J78" s="161">
        <f t="shared" si="15"/>
        <v>0</v>
      </c>
      <c r="K78" s="347" t="e">
        <f>IF(AND(I78&gt;0,I$80&gt;0),+I78/I$80,0)</f>
        <v>#DIV/0!</v>
      </c>
      <c r="L78" s="313"/>
      <c r="M78" s="950">
        <f>+'Home Delivered Meal Budget'!M80</f>
        <v>0</v>
      </c>
      <c r="N78" s="950"/>
      <c r="O78" s="951"/>
      <c r="P78" s="189"/>
    </row>
    <row r="79" spans="1:16" s="73" customFormat="1" ht="13">
      <c r="A79" s="195"/>
      <c r="B79" s="727" t="s">
        <v>1</v>
      </c>
      <c r="C79" s="727"/>
      <c r="D79" s="727"/>
      <c r="E79" s="727"/>
      <c r="F79" s="727"/>
      <c r="G79" s="792"/>
      <c r="H79" s="313"/>
      <c r="I79" s="445"/>
      <c r="J79" s="364"/>
      <c r="K79" s="446"/>
      <c r="L79" s="313"/>
      <c r="M79" s="351"/>
      <c r="N79" s="351"/>
      <c r="O79" s="351"/>
      <c r="P79" s="189"/>
    </row>
    <row r="80" spans="1:16" s="73" customFormat="1">
      <c r="A80" s="194"/>
      <c r="B80" s="94" t="s">
        <v>28</v>
      </c>
      <c r="C80" s="77">
        <f>+C16+C22+C27+C35+C41+C52+C62+C78</f>
        <v>0</v>
      </c>
      <c r="D80" s="77">
        <f>+D16+D22+D27+D35+D41+D52+D62+D78</f>
        <v>0</v>
      </c>
      <c r="E80" s="77">
        <f>+D80-C80</f>
        <v>0</v>
      </c>
      <c r="F80" s="157">
        <f>IF(+C80+D80=0,0,(IF(AND(+C80=0,D80&gt;0),1,(IF(AND(+C80&gt;0,D80=0),-1,+C80/+D80-1)))))</f>
        <v>0</v>
      </c>
      <c r="G80" s="365">
        <f>IF(AND(C80&gt;0,C$80&gt;0),+C80/C$80,0)</f>
        <v>0</v>
      </c>
      <c r="H80" s="313"/>
      <c r="I80" s="117" t="e">
        <f>+I16+I22+I27+I35+I41+I52+I62+I78</f>
        <v>#DIV/0!</v>
      </c>
      <c r="J80" s="80" t="e">
        <f>IF(I80+C80=0,0,(IF(AND(I80=0,C80&gt;0),-1,(IF(AND(I80&gt;0,C80=0),1,+I80/C80-1)))))</f>
        <v>#DIV/0!</v>
      </c>
      <c r="K80" s="346" t="e">
        <f>IF(AND(I80&gt;0,I$80&gt;0),+I80/I$80,0)</f>
        <v>#DIV/0!</v>
      </c>
      <c r="L80" s="313"/>
      <c r="M80" s="852"/>
      <c r="N80" s="852"/>
      <c r="O80" s="853"/>
      <c r="P80" s="189"/>
    </row>
    <row r="81" spans="1:16" s="73" customFormat="1" ht="12.75" customHeight="1">
      <c r="A81" s="194"/>
      <c r="B81" s="94" t="s">
        <v>220</v>
      </c>
      <c r="C81" s="173"/>
      <c r="D81" s="173"/>
      <c r="E81" s="160"/>
      <c r="F81" s="156"/>
      <c r="G81" s="218"/>
      <c r="H81" s="156"/>
      <c r="I81" s="125" t="s">
        <v>5</v>
      </c>
      <c r="J81" s="367"/>
      <c r="K81" s="448"/>
      <c r="L81" s="70"/>
      <c r="M81" s="70"/>
      <c r="N81" s="70"/>
      <c r="O81" s="70"/>
      <c r="P81" s="189"/>
    </row>
    <row r="82" spans="1:16" s="73" customFormat="1" ht="12.75" customHeight="1">
      <c r="A82" s="189"/>
      <c r="B82" s="94" t="s">
        <v>221</v>
      </c>
      <c r="C82" s="77">
        <f>IF(C81=0,0,+C80/C81)</f>
        <v>0</v>
      </c>
      <c r="D82" s="77">
        <f>IF(D81=0,0,+D80/D81)</f>
        <v>0</v>
      </c>
      <c r="E82" s="369"/>
      <c r="F82" s="370"/>
      <c r="G82" s="370"/>
      <c r="H82" s="370"/>
      <c r="I82" s="180"/>
      <c r="J82" s="158"/>
      <c r="K82" s="229"/>
      <c r="L82" s="109"/>
      <c r="M82" s="109"/>
      <c r="N82" s="109"/>
      <c r="O82" s="70"/>
      <c r="P82" s="189"/>
    </row>
    <row r="83" spans="1:16" s="73" customFormat="1" ht="12.75" customHeight="1">
      <c r="A83" s="195"/>
      <c r="B83" s="468" t="s">
        <v>313</v>
      </c>
      <c r="C83" s="371">
        <f>+D83</f>
        <v>0</v>
      </c>
      <c r="D83" s="372"/>
      <c r="E83" s="373"/>
      <c r="G83" s="232"/>
      <c r="I83" s="181"/>
      <c r="J83" s="159"/>
      <c r="K83" s="230"/>
      <c r="L83" s="70"/>
      <c r="M83" s="70"/>
      <c r="N83" s="70"/>
      <c r="O83" s="70"/>
      <c r="P83" s="189"/>
    </row>
    <row r="84" spans="1:16" s="73" customFormat="1">
      <c r="A84" s="195"/>
      <c r="B84" s="469"/>
      <c r="C84" s="449"/>
      <c r="D84" s="450"/>
      <c r="F84" s="374"/>
      <c r="G84" s="232"/>
      <c r="I84" s="377"/>
      <c r="J84" s="376"/>
      <c r="K84" s="451"/>
      <c r="L84" s="70"/>
      <c r="M84" s="70"/>
      <c r="N84" s="70"/>
      <c r="O84" s="70"/>
      <c r="P84" s="189"/>
    </row>
    <row r="85" spans="1:16" s="73" customFormat="1">
      <c r="A85" s="195"/>
      <c r="B85" s="263"/>
      <c r="C85" s="377"/>
      <c r="D85" s="378"/>
      <c r="F85" s="370"/>
      <c r="G85" s="379"/>
      <c r="H85" s="379"/>
      <c r="I85" s="181"/>
      <c r="J85" s="181"/>
      <c r="K85" s="230"/>
      <c r="L85" s="70"/>
      <c r="M85" s="70"/>
      <c r="N85" s="70"/>
      <c r="O85" s="70"/>
      <c r="P85" s="189"/>
    </row>
    <row r="86" spans="1:16">
      <c r="A86" s="186"/>
      <c r="F86" s="248"/>
      <c r="G86" s="220"/>
      <c r="H86" s="248"/>
      <c r="L86" s="248"/>
      <c r="M86" s="248"/>
      <c r="N86" s="248"/>
      <c r="O86" s="248"/>
      <c r="P86" s="190"/>
    </row>
    <row r="87" spans="1:16">
      <c r="A87" s="186"/>
      <c r="F87" s="248"/>
      <c r="G87" s="220"/>
      <c r="H87" s="248"/>
      <c r="L87" s="248"/>
      <c r="M87" s="248"/>
      <c r="N87" s="248"/>
      <c r="O87" s="248"/>
      <c r="P87" s="190"/>
    </row>
    <row r="88" spans="1:16">
      <c r="A88" s="186"/>
      <c r="F88" s="248"/>
      <c r="G88" s="220"/>
      <c r="H88" s="248"/>
      <c r="L88" s="248"/>
      <c r="M88" s="248"/>
      <c r="N88" s="248"/>
      <c r="O88" s="248"/>
      <c r="P88" s="190"/>
    </row>
    <row r="89" spans="1:16">
      <c r="A89" s="186"/>
      <c r="F89" s="248"/>
      <c r="G89" s="220"/>
      <c r="H89" s="248"/>
      <c r="L89" s="248"/>
      <c r="M89" s="248"/>
      <c r="N89" s="248"/>
      <c r="O89" s="248"/>
      <c r="P89" s="190"/>
    </row>
    <row r="90" spans="1:16">
      <c r="A90" s="186"/>
      <c r="F90" s="248"/>
      <c r="G90" s="220"/>
      <c r="H90" s="248"/>
      <c r="L90" s="248"/>
      <c r="M90" s="248"/>
      <c r="N90" s="248"/>
      <c r="O90" s="248"/>
      <c r="P90" s="190"/>
    </row>
    <row r="91" spans="1:16">
      <c r="A91" s="186"/>
      <c r="G91" s="452"/>
      <c r="P91" s="190"/>
    </row>
    <row r="92" spans="1:16" ht="25.5">
      <c r="A92" s="186"/>
      <c r="B92" s="790" t="s">
        <v>66</v>
      </c>
      <c r="C92" s="791"/>
      <c r="D92" s="791"/>
      <c r="E92" s="791"/>
      <c r="F92" s="791"/>
      <c r="G92" s="453" t="s">
        <v>70</v>
      </c>
      <c r="H92"/>
      <c r="I92" s="784" t="s">
        <v>69</v>
      </c>
      <c r="J92" s="784"/>
      <c r="K92" s="454" t="s">
        <v>68</v>
      </c>
      <c r="L92" s="373"/>
      <c r="M92" s="73"/>
      <c r="N92" s="70"/>
      <c r="O92" s="73"/>
      <c r="P92" s="190"/>
    </row>
    <row r="93" spans="1:16">
      <c r="A93" s="186"/>
      <c r="B93" s="783" t="s">
        <v>433</v>
      </c>
      <c r="C93" s="784"/>
      <c r="D93" s="784"/>
      <c r="E93" s="784"/>
      <c r="F93" s="784"/>
      <c r="G93" s="455"/>
      <c r="H93" s="70"/>
      <c r="I93" s="952">
        <f>IF(G93=0,0,'Unit Rate Calculation CM'!F28)</f>
        <v>0</v>
      </c>
      <c r="J93" s="952"/>
      <c r="K93" s="456">
        <f>+G93*I93</f>
        <v>0</v>
      </c>
      <c r="L93" s="957" t="s">
        <v>71</v>
      </c>
      <c r="M93" s="957"/>
      <c r="N93" s="957"/>
      <c r="O93" s="958"/>
      <c r="P93" s="190"/>
    </row>
    <row r="94" spans="1:16">
      <c r="A94" s="186"/>
      <c r="B94" s="841" t="s">
        <v>38</v>
      </c>
      <c r="C94" s="841"/>
      <c r="D94" s="841"/>
      <c r="E94" s="841"/>
      <c r="F94" s="799"/>
      <c r="G94" s="457"/>
      <c r="H94" s="70"/>
      <c r="I94" s="952">
        <f>IF(G94=0,0,'Unit Rate Calculation CM'!$K$17)</f>
        <v>0</v>
      </c>
      <c r="J94" s="952"/>
      <c r="K94" s="456">
        <f>+G94*I94</f>
        <v>0</v>
      </c>
      <c r="L94" s="958" t="s">
        <v>71</v>
      </c>
      <c r="M94" s="963"/>
      <c r="N94" s="963"/>
      <c r="O94" s="963"/>
      <c r="P94" s="190"/>
    </row>
    <row r="95" spans="1:16">
      <c r="A95" s="186"/>
      <c r="B95" s="783" t="s">
        <v>410</v>
      </c>
      <c r="C95" s="784"/>
      <c r="D95" s="784"/>
      <c r="E95" s="784"/>
      <c r="F95" s="784"/>
      <c r="G95" s="458"/>
      <c r="H95" s="70"/>
      <c r="I95" s="952">
        <f>IF(G95=0,0,'Unit Rate Calculation CM'!$K$17)</f>
        <v>0</v>
      </c>
      <c r="J95" s="952"/>
      <c r="K95" s="456">
        <f>+G95*I95</f>
        <v>0</v>
      </c>
      <c r="L95" s="958" t="s">
        <v>71</v>
      </c>
      <c r="M95" s="963"/>
      <c r="N95" s="963"/>
      <c r="O95" s="963"/>
      <c r="P95" s="190"/>
    </row>
    <row r="96" spans="1:16">
      <c r="A96" s="186"/>
      <c r="B96" s="799" t="s">
        <v>107</v>
      </c>
      <c r="C96" s="784"/>
      <c r="D96" s="784"/>
      <c r="E96" s="784"/>
      <c r="F96" s="784"/>
      <c r="G96" s="458"/>
      <c r="H96" s="70"/>
      <c r="I96" s="952">
        <f>IF(G96=0,0,'Unit Rate Calculation CM'!$K$17)</f>
        <v>0</v>
      </c>
      <c r="J96" s="952"/>
      <c r="K96" s="456">
        <f>+G96*I96</f>
        <v>0</v>
      </c>
      <c r="L96" s="958" t="s">
        <v>71</v>
      </c>
      <c r="M96" s="963"/>
      <c r="N96" s="963"/>
      <c r="O96" s="963"/>
      <c r="P96" s="190"/>
    </row>
    <row r="97" spans="1:16">
      <c r="A97" s="186"/>
      <c r="B97" s="799" t="s">
        <v>67</v>
      </c>
      <c r="C97" s="784"/>
      <c r="D97" s="784"/>
      <c r="E97" s="784"/>
      <c r="F97" s="784"/>
      <c r="G97" s="459" t="s">
        <v>72</v>
      </c>
      <c r="H97" s="70"/>
      <c r="I97" s="952">
        <f>IF(G97=0,0,'Unit Rate Calculation CM'!$F$27)</f>
        <v>0</v>
      </c>
      <c r="J97" s="952"/>
      <c r="K97" s="456">
        <f>+G93*I97</f>
        <v>0</v>
      </c>
      <c r="L97" s="957" t="s">
        <v>71</v>
      </c>
      <c r="M97" s="957"/>
      <c r="N97" s="957"/>
      <c r="O97" s="958"/>
      <c r="P97" s="190"/>
    </row>
    <row r="98" spans="1:16">
      <c r="A98" s="186"/>
      <c r="B98" s="953" t="s">
        <v>264</v>
      </c>
      <c r="C98" s="954"/>
      <c r="D98" s="954"/>
      <c r="E98" s="954"/>
      <c r="F98" s="954"/>
      <c r="G98" s="457"/>
      <c r="H98" s="70"/>
      <c r="I98" s="952">
        <f>+'Unit Rate Calculation CM'!K17</f>
        <v>0</v>
      </c>
      <c r="J98" s="952"/>
      <c r="K98" s="456">
        <f>+G98*I98</f>
        <v>0</v>
      </c>
      <c r="L98" s="957" t="s">
        <v>71</v>
      </c>
      <c r="M98" s="957"/>
      <c r="N98" s="957"/>
      <c r="O98" s="958"/>
      <c r="P98" s="190"/>
    </row>
    <row r="99" spans="1:16">
      <c r="A99" s="186"/>
      <c r="B99" s="953" t="s">
        <v>263</v>
      </c>
      <c r="C99" s="954"/>
      <c r="D99" s="954"/>
      <c r="E99" s="954"/>
      <c r="F99" s="954"/>
      <c r="G99" s="457"/>
      <c r="H99" s="70"/>
      <c r="I99" s="952">
        <f>+'Unit Rate Calculation CM'!K17</f>
        <v>0</v>
      </c>
      <c r="J99" s="952"/>
      <c r="K99" s="456">
        <f>+G99*I99</f>
        <v>0</v>
      </c>
      <c r="L99" s="957" t="s">
        <v>71</v>
      </c>
      <c r="M99" s="957"/>
      <c r="N99" s="957"/>
      <c r="O99" s="958"/>
      <c r="P99" s="190"/>
    </row>
    <row r="100" spans="1:16" ht="13">
      <c r="A100" s="186"/>
      <c r="B100" s="792" t="s">
        <v>202</v>
      </c>
      <c r="C100" s="796"/>
      <c r="D100" s="796"/>
      <c r="E100" s="796"/>
      <c r="F100" s="796"/>
      <c r="G100" s="460">
        <f>SUM(G93:G99)</f>
        <v>0</v>
      </c>
      <c r="H100" s="84"/>
      <c r="I100" s="952"/>
      <c r="J100" s="952"/>
      <c r="K100" s="456">
        <f>SUM(K93:K99)</f>
        <v>0</v>
      </c>
      <c r="L100" s="955" t="s">
        <v>262</v>
      </c>
      <c r="M100" s="956"/>
      <c r="N100" s="956"/>
      <c r="O100" s="956"/>
      <c r="P100" s="190"/>
    </row>
    <row r="101" spans="1:16" ht="13">
      <c r="A101" s="186"/>
      <c r="B101" s="792" t="s">
        <v>261</v>
      </c>
      <c r="C101" s="796"/>
      <c r="D101" s="796"/>
      <c r="E101" s="796"/>
      <c r="F101" s="796"/>
      <c r="G101" s="461">
        <f>+C_TotalBudgetedMeals</f>
        <v>0</v>
      </c>
      <c r="H101" s="85"/>
      <c r="I101" s="405"/>
      <c r="J101" s="401"/>
      <c r="K101" s="232"/>
      <c r="L101" s="73"/>
      <c r="M101" s="401"/>
      <c r="N101" s="73"/>
      <c r="O101" s="84"/>
      <c r="P101" s="190"/>
    </row>
    <row r="102" spans="1:16" ht="28.5" customHeight="1">
      <c r="A102" s="186"/>
      <c r="B102" s="727" t="s">
        <v>326</v>
      </c>
      <c r="C102" s="727"/>
      <c r="D102" s="727"/>
      <c r="E102" s="727"/>
      <c r="F102" s="792"/>
      <c r="G102" s="462">
        <f>+G101-G100</f>
        <v>0</v>
      </c>
      <c r="H102" s="85"/>
      <c r="I102" s="405"/>
      <c r="J102" s="401"/>
      <c r="K102" s="232"/>
      <c r="L102" s="73"/>
      <c r="M102" s="401"/>
      <c r="N102" s="73"/>
      <c r="O102" s="84"/>
      <c r="P102" s="190"/>
    </row>
    <row r="103" spans="1:16" ht="13">
      <c r="A103" s="186"/>
      <c r="B103" s="112"/>
      <c r="C103" s="112"/>
      <c r="D103" s="112"/>
      <c r="E103" s="112"/>
      <c r="F103" s="73"/>
      <c r="G103" s="463"/>
      <c r="H103" s="85"/>
      <c r="I103" s="405"/>
      <c r="J103" s="401"/>
      <c r="K103" s="232"/>
      <c r="L103" s="73"/>
      <c r="M103" s="401"/>
      <c r="N103" s="73"/>
      <c r="O103" s="84"/>
      <c r="P103" s="190"/>
    </row>
    <row r="104" spans="1:16" ht="13">
      <c r="A104" s="186"/>
      <c r="B104" s="799" t="s">
        <v>224</v>
      </c>
      <c r="C104" s="794"/>
      <c r="D104" s="794"/>
      <c r="E104" s="794"/>
      <c r="F104" s="794"/>
      <c r="G104" s="464"/>
      <c r="H104" s="70"/>
      <c r="I104" s="182"/>
      <c r="J104" s="70"/>
      <c r="K104" s="231"/>
      <c r="L104" s="88"/>
      <c r="M104" s="70"/>
      <c r="N104" s="70"/>
      <c r="O104" s="73"/>
      <c r="P104" s="190"/>
    </row>
    <row r="105" spans="1:16">
      <c r="A105" s="186"/>
      <c r="B105" s="799" t="s">
        <v>225</v>
      </c>
      <c r="C105" s="794"/>
      <c r="D105" s="794"/>
      <c r="E105" s="794"/>
      <c r="F105" s="794"/>
      <c r="G105" s="465" t="e">
        <f>++'Provider Total Budget by Serv'!E278*'Provider Total Budget by Serv'!D304</f>
        <v>#DIV/0!</v>
      </c>
      <c r="H105" s="70"/>
      <c r="I105" s="182"/>
      <c r="J105" s="70"/>
      <c r="K105" s="232"/>
      <c r="L105" s="111"/>
      <c r="M105" s="70"/>
      <c r="N105" s="70"/>
      <c r="O105" s="73"/>
      <c r="P105" s="190"/>
    </row>
    <row r="106" spans="1:16">
      <c r="A106" s="470"/>
      <c r="B106" s="799" t="s">
        <v>117</v>
      </c>
      <c r="C106" s="794"/>
      <c r="D106" s="794"/>
      <c r="E106" s="794"/>
      <c r="F106" s="794"/>
      <c r="G106" s="116">
        <f>IF(G104&gt;0,+G105/G104,0)</f>
        <v>0</v>
      </c>
      <c r="H106" s="70"/>
      <c r="I106" s="182"/>
      <c r="J106" s="70"/>
      <c r="K106" s="232"/>
      <c r="L106" s="111"/>
      <c r="M106" s="70"/>
      <c r="N106" s="70"/>
      <c r="O106" s="73"/>
      <c r="P106" s="467"/>
    </row>
  </sheetData>
  <sheetProtection formatCells="0" formatColumns="0" formatRows="0"/>
  <customSheetViews>
    <customSheetView guid="{DDFE7685-90A4-42DC-AFD9-89B5EC30420E}" scale="70" showPageBreaks="1" fitToPage="1" printArea="1">
      <selection activeCell="O11" sqref="O11"/>
      <pageMargins left="0.7" right="0.7" top="0.75" bottom="0.75" header="0.3" footer="0.3"/>
      <pageSetup paperSize="5" scale="67" fitToHeight="4" orientation="landscape" r:id="rId1"/>
    </customSheetView>
  </customSheetViews>
  <mergeCells count="77">
    <mergeCell ref="B1:O1"/>
    <mergeCell ref="B93:F93"/>
    <mergeCell ref="B97:F97"/>
    <mergeCell ref="I92:J92"/>
    <mergeCell ref="I93:J93"/>
    <mergeCell ref="L96:O96"/>
    <mergeCell ref="B96:F96"/>
    <mergeCell ref="L95:O95"/>
    <mergeCell ref="I95:J95"/>
    <mergeCell ref="I96:J96"/>
    <mergeCell ref="M54:O62"/>
    <mergeCell ref="M64:O78"/>
    <mergeCell ref="M80:O80"/>
    <mergeCell ref="M29:O35"/>
    <mergeCell ref="I94:J94"/>
    <mergeCell ref="L93:O93"/>
    <mergeCell ref="L98:O98"/>
    <mergeCell ref="L97:O97"/>
    <mergeCell ref="I97:J97"/>
    <mergeCell ref="I98:J98"/>
    <mergeCell ref="L94:O94"/>
    <mergeCell ref="B95:F95"/>
    <mergeCell ref="B94:F94"/>
    <mergeCell ref="B6:B7"/>
    <mergeCell ref="C6:C7"/>
    <mergeCell ref="D6:G7"/>
    <mergeCell ref="B92:F92"/>
    <mergeCell ref="B53:G53"/>
    <mergeCell ref="B9:B12"/>
    <mergeCell ref="B63:G63"/>
    <mergeCell ref="B79:G79"/>
    <mergeCell ref="B28:G28"/>
    <mergeCell ref="B36:G36"/>
    <mergeCell ref="B42:G42"/>
    <mergeCell ref="C9:C12"/>
    <mergeCell ref="D9:D12"/>
    <mergeCell ref="L100:O100"/>
    <mergeCell ref="I99:J99"/>
    <mergeCell ref="L99:O99"/>
    <mergeCell ref="B104:F104"/>
    <mergeCell ref="B99:F99"/>
    <mergeCell ref="B101:F101"/>
    <mergeCell ref="B100:F100"/>
    <mergeCell ref="B105:F105"/>
    <mergeCell ref="B106:F106"/>
    <mergeCell ref="B102:F102"/>
    <mergeCell ref="I100:J100"/>
    <mergeCell ref="B98:F98"/>
    <mergeCell ref="M43:O52"/>
    <mergeCell ref="B13:G13"/>
    <mergeCell ref="M14:O16"/>
    <mergeCell ref="B17:G17"/>
    <mergeCell ref="M18:O22"/>
    <mergeCell ref="B23:G23"/>
    <mergeCell ref="M24:O27"/>
    <mergeCell ref="M37:O41"/>
    <mergeCell ref="I9:I12"/>
    <mergeCell ref="I2:O4"/>
    <mergeCell ref="I5:K5"/>
    <mergeCell ref="M5:O5"/>
    <mergeCell ref="I6:K7"/>
    <mergeCell ref="M6:O7"/>
    <mergeCell ref="J9:J12"/>
    <mergeCell ref="K9:K12"/>
    <mergeCell ref="M11:N11"/>
    <mergeCell ref="M12:O12"/>
    <mergeCell ref="M9:N9"/>
    <mergeCell ref="M10:N10"/>
    <mergeCell ref="M8:O8"/>
    <mergeCell ref="C2:G2"/>
    <mergeCell ref="C3:G3"/>
    <mergeCell ref="C4:G4"/>
    <mergeCell ref="C5:G5"/>
    <mergeCell ref="F9:F12"/>
    <mergeCell ref="G9:G12"/>
    <mergeCell ref="C8:G8"/>
    <mergeCell ref="E9:E12"/>
  </mergeCells>
  <conditionalFormatting sqref="K16">
    <cfRule type="cellIs" dxfId="3" priority="4" stopIfTrue="1" operator="greaterThan">
      <formula>0.5</formula>
    </cfRule>
  </conditionalFormatting>
  <conditionalFormatting sqref="K27">
    <cfRule type="cellIs" dxfId="2" priority="3" stopIfTrue="1" operator="greaterThan">
      <formula>0.03</formula>
    </cfRule>
  </conditionalFormatting>
  <conditionalFormatting sqref="K35">
    <cfRule type="cellIs" dxfId="1" priority="2" stopIfTrue="1" operator="lessThan">
      <formula>0.3</formula>
    </cfRule>
  </conditionalFormatting>
  <conditionalFormatting sqref="K78">
    <cfRule type="cellIs" dxfId="0" priority="1" stopIfTrue="1" operator="greaterThan">
      <formula>0.15</formula>
    </cfRule>
  </conditionalFormatting>
  <dataValidations xWindow="1058" yWindow="474" count="8">
    <dataValidation type="whole" allowBlank="1" showInputMessage="1" showErrorMessage="1" sqref="G93:G96 G98:G99" xr:uid="{00000000-0002-0000-0800-000000000000}">
      <formula1>0</formula1>
      <formula2>15000000</formula2>
    </dataValidation>
    <dataValidation type="whole" allowBlank="1" showInputMessage="1" showErrorMessage="1" sqref="C81:D81" xr:uid="{00000000-0002-0000-0800-000001000000}">
      <formula1>0</formula1>
      <formula2>999999999</formula2>
    </dataValidation>
    <dataValidation type="decimal" allowBlank="1" showInputMessage="1" showErrorMessage="1" sqref="D83" xr:uid="{00000000-0002-0000-0800-000002000000}">
      <formula1>0</formula1>
      <formula2>9999999.99</formula2>
    </dataValidation>
    <dataValidation allowBlank="1" showInputMessage="1" showErrorMessage="1" promptTitle="Review Alert" prompt="If the percentage of the meal cost applied to the cost area is outside of the expected range for the cost area, the cell will be highlighted in red. Additional review should be conducted to verify cost area budget is accurate." sqref="K78 K35 K27 K16" xr:uid="{00000000-0002-0000-0800-000003000000}"/>
    <dataValidation type="decimal" allowBlank="1" showInputMessage="1" showErrorMessage="1" sqref="K54:K61 I64:I77 I54:I61 I43:I51 I37:I40 I29:I34 I24:I26 K64:K77 K20:K21 K24:K26 K29:K34 K37:K40 K43:K51 C29:D34 C20:C21 C24:D26 C54:D61 C43:D51 C37:D40 C64:D77" xr:uid="{00000000-0002-0000-0800-000004000000}">
      <formula1>0</formula1>
      <formula2>15000000</formula2>
    </dataValidation>
    <dataValidation type="decimal" allowBlank="1" showInputMessage="1" showErrorMessage="1" sqref="J15 I18:I21 K14:K15 I14:I15 C18:C19 D18:D21 C14:D15 J18:K19" xr:uid="{00000000-0002-0000-0800-000005000000}">
      <formula1>0</formula1>
      <formula2>150000000</formula2>
    </dataValidation>
    <dataValidation allowBlank="1" showInputMessage="1" showErrorMessage="1" promptTitle="Explanation of Variance" prompt="If an explanations was entered on the &quot;Home Delivered Meal Budget&quot; this cost center was updated with the same explanation. If this explanation is not correct for this service and cost center, delete the explanation and enter the correct information. " sqref="M13:O13" xr:uid="{00000000-0002-0000-0800-000006000000}"/>
    <dataValidation allowBlank="1" showErrorMessage="1" promptTitle="Explanation of Variance" prompt="If an explanations was entered on the &quot;Home Delivered Meal Budget&quot; this cost center was updated with the same explanation. If this explanation is not correct for this service and cost center, delete the explanation and enter the correct information. " sqref="M14:O16 M18:O22 M24:O27 M29:O35 M37:O41 M43:O52 M54:O62 M64:O78" xr:uid="{00000000-0002-0000-0800-000007000000}"/>
  </dataValidations>
  <pageMargins left="0.7" right="0.7" top="0.75" bottom="0.75" header="0.3" footer="0.3"/>
  <pageSetup paperSize="5" scale="67" fitToHeight="4" orientation="landscape" r:id="rId2"/>
</worksheet>
</file>

<file path=docMetadata/LabelInfo.xml><?xml version="1.0" encoding="utf-8"?>
<clbl:labelList xmlns:clbl="http://schemas.microsoft.com/office/2020/mipLabelMetadata">
  <clbl:label id="{a061e953-577f-44bc-90d4-dd6552c79708}" enabled="1" method="Privileged" siteId="{2f5e7ebc-22b0-4fbe-934c-aabddb4e29b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255</vt:i4>
      </vt:variant>
    </vt:vector>
  </HeadingPairs>
  <TitlesOfParts>
    <vt:vector size="275" baseType="lpstr">
      <vt:lpstr>Provider Information</vt:lpstr>
      <vt:lpstr>Provider Total Budget by Serv</vt:lpstr>
      <vt:lpstr>Provider Service Area</vt:lpstr>
      <vt:lpstr>Analysis Tool</vt:lpstr>
      <vt:lpstr>Home Delivered Meal Budget</vt:lpstr>
      <vt:lpstr>Certification HDM</vt:lpstr>
      <vt:lpstr>Unit Rate Calculation HDM</vt:lpstr>
      <vt:lpstr>In-Kind Certification HDM</vt:lpstr>
      <vt:lpstr>Congregate Meal Budget</vt:lpstr>
      <vt:lpstr>Unit Rate Calculation CM</vt:lpstr>
      <vt:lpstr>Certification CM</vt:lpstr>
      <vt:lpstr>In-Kind Certification CM</vt:lpstr>
      <vt:lpstr>Participant Assessment Budget</vt:lpstr>
      <vt:lpstr>Unit Rate Calculation PA</vt:lpstr>
      <vt:lpstr>Certification PA</vt:lpstr>
      <vt:lpstr>In-Kind Certification PA</vt:lpstr>
      <vt:lpstr>Transportation Budget</vt:lpstr>
      <vt:lpstr>Unit Rate Calculation Transp</vt:lpstr>
      <vt:lpstr>Certification Transp</vt:lpstr>
      <vt:lpstr>In-Kind Certification Transp</vt:lpstr>
      <vt:lpstr>C_Acct_Fees</vt:lpstr>
      <vt:lpstr>C_Advertising</vt:lpstr>
      <vt:lpstr>C_Audit</vt:lpstr>
      <vt:lpstr>C_Benefits</vt:lpstr>
      <vt:lpstr>C_Conference</vt:lpstr>
      <vt:lpstr>C_Consult_Fees</vt:lpstr>
      <vt:lpstr>C_Consumables</vt:lpstr>
      <vt:lpstr>C_Contract_Staff</vt:lpstr>
      <vt:lpstr>C_Contractual_Admin</vt:lpstr>
      <vt:lpstr>C_Copying</vt:lpstr>
      <vt:lpstr>C_Delivery</vt:lpstr>
      <vt:lpstr>C_Depreciation_Bldg</vt:lpstr>
      <vt:lpstr>C_Depreciation_Equip</vt:lpstr>
      <vt:lpstr>C_Depreciation_Transp</vt:lpstr>
      <vt:lpstr>C_Dues</vt:lpstr>
      <vt:lpstr>C_Equip_Leasing</vt:lpstr>
      <vt:lpstr>C_Equip_Maintenance</vt:lpstr>
      <vt:lpstr>C_GasOil</vt:lpstr>
      <vt:lpstr>C_HotPrepMealsPurchfromSupplierCentralKitch</vt:lpstr>
      <vt:lpstr>C_Insurance_Bldg</vt:lpstr>
      <vt:lpstr>C_Insurance_Transp</vt:lpstr>
      <vt:lpstr>C_Interest_Equip</vt:lpstr>
      <vt:lpstr>C_Interest_Transp</vt:lpstr>
      <vt:lpstr>C_Janitorial</vt:lpstr>
      <vt:lpstr>C_Legal_Fees</vt:lpstr>
      <vt:lpstr>C_Liability_Ins</vt:lpstr>
      <vt:lpstr>C_Materials</vt:lpstr>
      <vt:lpstr>C_Meal_Freight</vt:lpstr>
      <vt:lpstr>C_MealsPreparedByProvider</vt:lpstr>
      <vt:lpstr>C_Mileage</vt:lpstr>
      <vt:lpstr>C_Mortgage_Interst_Bldg</vt:lpstr>
      <vt:lpstr>C_O_Supply</vt:lpstr>
      <vt:lpstr>C_Other_Fees_Admin</vt:lpstr>
      <vt:lpstr>C_Other_Meal</vt:lpstr>
      <vt:lpstr>C_Other_Misc_Admin</vt:lpstr>
      <vt:lpstr>C_Percentage_of_Total_Meals</vt:lpstr>
      <vt:lpstr>C_Postage</vt:lpstr>
      <vt:lpstr>C_Printing</vt:lpstr>
      <vt:lpstr>C_Purchased_ChilledMeals</vt:lpstr>
      <vt:lpstr>C_Purchased_Frozen_Meals</vt:lpstr>
      <vt:lpstr>C_Purchased_Hot_Meals</vt:lpstr>
      <vt:lpstr>C_Purchased_ShelfStableMeals</vt:lpstr>
      <vt:lpstr>C_PurchasedFrozenMeals</vt:lpstr>
      <vt:lpstr>C_PurchasedMeals</vt:lpstr>
      <vt:lpstr>C_PurchasedShelfStableMeals</vt:lpstr>
      <vt:lpstr>C_RawFood</vt:lpstr>
      <vt:lpstr>C_Rent_Bldg</vt:lpstr>
      <vt:lpstr>C_Repair_Bldg</vt:lpstr>
      <vt:lpstr>C_Repair_Transp</vt:lpstr>
      <vt:lpstr>C_Salaries</vt:lpstr>
      <vt:lpstr>C_Security_Bldg</vt:lpstr>
      <vt:lpstr>C_Storage</vt:lpstr>
      <vt:lpstr>C_Tags</vt:lpstr>
      <vt:lpstr>C_Taxes</vt:lpstr>
      <vt:lpstr>C_Telecom</vt:lpstr>
      <vt:lpstr>C_Tot_Admin</vt:lpstr>
      <vt:lpstr>C_Tot_Bldg</vt:lpstr>
      <vt:lpstr>C_Tot_Equip</vt:lpstr>
      <vt:lpstr>C_Tot_Meals_Food</vt:lpstr>
      <vt:lpstr>C_Tot_Personnel</vt:lpstr>
      <vt:lpstr>C_Tot_ProDev</vt:lpstr>
      <vt:lpstr>C_Tot_TranspTrav</vt:lpstr>
      <vt:lpstr>C_Total_All_Cost_Areas</vt:lpstr>
      <vt:lpstr>C_Total_Personnel</vt:lpstr>
      <vt:lpstr>C_TotalBudgetedMeals</vt:lpstr>
      <vt:lpstr>C_TotalPurchasedMeals</vt:lpstr>
      <vt:lpstr>C_Utilities_Bldg</vt:lpstr>
      <vt:lpstr>CM_Provider_Prepared_Chilled_Meals</vt:lpstr>
      <vt:lpstr>CM_Provider_Prepared_Frozen_Meals</vt:lpstr>
      <vt:lpstr>CM_Provider_Prepared_Hot_Meals</vt:lpstr>
      <vt:lpstr>CM_Purchased_Chilled_Meals</vt:lpstr>
      <vt:lpstr>HD__Benefits</vt:lpstr>
      <vt:lpstr>HD_Acct_Fees</vt:lpstr>
      <vt:lpstr>HD_Advertising</vt:lpstr>
      <vt:lpstr>HD_Audit</vt:lpstr>
      <vt:lpstr>HD_Conference</vt:lpstr>
      <vt:lpstr>HD_Consult_Fees</vt:lpstr>
      <vt:lpstr>HD_Consumables</vt:lpstr>
      <vt:lpstr>HD_Contract_Staff</vt:lpstr>
      <vt:lpstr>HD_Contractual_Admin</vt:lpstr>
      <vt:lpstr>HD_Copying</vt:lpstr>
      <vt:lpstr>HD_Delivery</vt:lpstr>
      <vt:lpstr>HD_Depreciation_Bldg</vt:lpstr>
      <vt:lpstr>HD_Depreciation_Equip</vt:lpstr>
      <vt:lpstr>HD_Depreciation_Transp</vt:lpstr>
      <vt:lpstr>HD_Dues</vt:lpstr>
      <vt:lpstr>HD_Equip_Leasing</vt:lpstr>
      <vt:lpstr>HD_Equip_Maintenance</vt:lpstr>
      <vt:lpstr>HD_GasOil</vt:lpstr>
      <vt:lpstr>HD_HotPrepMealsPurchfromSupplierCentralKitch</vt:lpstr>
      <vt:lpstr>HD_Insurance_Bldg</vt:lpstr>
      <vt:lpstr>HD_Insurance_Transp</vt:lpstr>
      <vt:lpstr>HD_Interest_Equip</vt:lpstr>
      <vt:lpstr>HD_Interest_Transp</vt:lpstr>
      <vt:lpstr>HD_Janitorial</vt:lpstr>
      <vt:lpstr>HD_Legal_Fees</vt:lpstr>
      <vt:lpstr>HD_Liability_Ins</vt:lpstr>
      <vt:lpstr>HD_Materials</vt:lpstr>
      <vt:lpstr>HD_Meal_Freight</vt:lpstr>
      <vt:lpstr>HD_MealsPreparedByProvider</vt:lpstr>
      <vt:lpstr>HD_Mileage</vt:lpstr>
      <vt:lpstr>HD_Mortgage_Interst_Bldg</vt:lpstr>
      <vt:lpstr>HD_O_Supply</vt:lpstr>
      <vt:lpstr>HD_Other_Fees_Admin</vt:lpstr>
      <vt:lpstr>HD_Other_Meal</vt:lpstr>
      <vt:lpstr>HD_Other_Misc_Admin</vt:lpstr>
      <vt:lpstr>HD_Percentage_of_Total_Meals</vt:lpstr>
      <vt:lpstr>HD_Postage</vt:lpstr>
      <vt:lpstr>HD_Printing</vt:lpstr>
      <vt:lpstr>HD_Purchased_ChilledMeals</vt:lpstr>
      <vt:lpstr>HD_Purchased_Frozen_Meals</vt:lpstr>
      <vt:lpstr>HD_Purchased_Hot_Meals</vt:lpstr>
      <vt:lpstr>HD_Purchased_ShelfStableMeals</vt:lpstr>
      <vt:lpstr>HD_PurchasedFrozenMeals</vt:lpstr>
      <vt:lpstr>HD_PurchasedMeals</vt:lpstr>
      <vt:lpstr>HD_PurchasedShelfStableMeals</vt:lpstr>
      <vt:lpstr>HD_RawFood</vt:lpstr>
      <vt:lpstr>HD_Rent_Bldg</vt:lpstr>
      <vt:lpstr>HD_Repair_Bldg</vt:lpstr>
      <vt:lpstr>HD_Repair_Transp</vt:lpstr>
      <vt:lpstr>HD_Salaries</vt:lpstr>
      <vt:lpstr>HD_Security_Bldg</vt:lpstr>
      <vt:lpstr>HD_Storage</vt:lpstr>
      <vt:lpstr>HD_T_Sal</vt:lpstr>
      <vt:lpstr>HD_Tags</vt:lpstr>
      <vt:lpstr>HD_Taxes</vt:lpstr>
      <vt:lpstr>HD_Telecom</vt:lpstr>
      <vt:lpstr>HD_Tot_Admin</vt:lpstr>
      <vt:lpstr>HD_Tot_Bldg</vt:lpstr>
      <vt:lpstr>HD_Tot_Equip</vt:lpstr>
      <vt:lpstr>HD_Tot_Meals_Food</vt:lpstr>
      <vt:lpstr>HD_Tot_Personnel</vt:lpstr>
      <vt:lpstr>HD_Tot_ProDev</vt:lpstr>
      <vt:lpstr>HD_Tot_TranspTrav</vt:lpstr>
      <vt:lpstr>HD_Total_All_Cost_Areas</vt:lpstr>
      <vt:lpstr>HD_TotalBudgetedMeals</vt:lpstr>
      <vt:lpstr>HD_TotalPurchasedMeals</vt:lpstr>
      <vt:lpstr>HD_Utilities_Bldg</vt:lpstr>
      <vt:lpstr>HDM_Provider_Prepared_Chilled_Meals</vt:lpstr>
      <vt:lpstr>HDM_Provider_Prepared_Frozen_Meals</vt:lpstr>
      <vt:lpstr>HDM_Provider_Prepared_Hot_Meals</vt:lpstr>
      <vt:lpstr>HDM_Purchased_Chilled_Meals</vt:lpstr>
      <vt:lpstr>NE_AAA_Benefits</vt:lpstr>
      <vt:lpstr>NE_AAA_Conference</vt:lpstr>
      <vt:lpstr>NE_AAA_Contract_Staff</vt:lpstr>
      <vt:lpstr>NE_AAA_Dues</vt:lpstr>
      <vt:lpstr>NE_AAA_Materials</vt:lpstr>
      <vt:lpstr>NE_AAA_Salaries</vt:lpstr>
      <vt:lpstr>NE_AAA_Tot_Personnel</vt:lpstr>
      <vt:lpstr>NE_AAA_Tot_ProDev</vt:lpstr>
      <vt:lpstr>NE_AAA_Total_All_Cost_Areas</vt:lpstr>
      <vt:lpstr>NE_RLS__Total_All_Cost_Areas</vt:lpstr>
      <vt:lpstr>NE_RLS_Benefits</vt:lpstr>
      <vt:lpstr>NE_RLS_Conference</vt:lpstr>
      <vt:lpstr>NE_RLS_Contract_Staff</vt:lpstr>
      <vt:lpstr>NE_RLS_Dues</vt:lpstr>
      <vt:lpstr>NE_RLS_Materials</vt:lpstr>
      <vt:lpstr>NE_RLS_Salaries</vt:lpstr>
      <vt:lpstr>NE_RLS_T_Sal</vt:lpstr>
      <vt:lpstr>NE_RLS_Tot_Personnel</vt:lpstr>
      <vt:lpstr>NE_RLS_Tot_ProDev</vt:lpstr>
      <vt:lpstr>'Analysis Tool'!Print_Area</vt:lpstr>
      <vt:lpstr>'Certification CM'!Print_Area</vt:lpstr>
      <vt:lpstr>'Certification HDM'!Print_Area</vt:lpstr>
      <vt:lpstr>'Certification PA'!Print_Area</vt:lpstr>
      <vt:lpstr>'Congregate Meal Budget'!Print_Area</vt:lpstr>
      <vt:lpstr>'Home Delivered Meal Budget'!Print_Area</vt:lpstr>
      <vt:lpstr>'In-Kind Certification CM'!Print_Area</vt:lpstr>
      <vt:lpstr>'In-Kind Certification HDM'!Print_Area</vt:lpstr>
      <vt:lpstr>'In-Kind Certification PA'!Print_Area</vt:lpstr>
      <vt:lpstr>'In-Kind Certification Transp'!Print_Area</vt:lpstr>
      <vt:lpstr>'Participant Assessment Budget'!Print_Area</vt:lpstr>
      <vt:lpstr>'Provider Information'!Print_Area</vt:lpstr>
      <vt:lpstr>'Provider Total Budget by Serv'!Print_Area</vt:lpstr>
      <vt:lpstr>'Transportation Budget'!Print_Area</vt:lpstr>
      <vt:lpstr>'Unit Rate Calculation CM'!Print_Area</vt:lpstr>
      <vt:lpstr>'Unit Rate Calculation HDM'!Print_Area</vt:lpstr>
      <vt:lpstr>'Unit Rate Calculation PA'!Print_Area</vt:lpstr>
      <vt:lpstr>'Unit Rate Calculation Transp'!Print_Area</vt:lpstr>
      <vt:lpstr>'Analysis Tool'!Print_Titles</vt:lpstr>
      <vt:lpstr>'Congregate Meal Budget'!Print_Titles</vt:lpstr>
      <vt:lpstr>'Home Delivered Meal Budget'!Print_Titles</vt:lpstr>
      <vt:lpstr>'Participant Assessment Budget'!Print_Titles</vt:lpstr>
      <vt:lpstr>'Provider Total Budget by Serv'!Print_Titles</vt:lpstr>
      <vt:lpstr>'Transportation Budget'!Print_Titles</vt:lpstr>
      <vt:lpstr>Total_Acct_Fees</vt:lpstr>
      <vt:lpstr>Total_Advertising</vt:lpstr>
      <vt:lpstr>Total_Audit</vt:lpstr>
      <vt:lpstr>Total_Benefits</vt:lpstr>
      <vt:lpstr>Total_Conference</vt:lpstr>
      <vt:lpstr>Total_Consult_Fees</vt:lpstr>
      <vt:lpstr>Total_Consumables</vt:lpstr>
      <vt:lpstr>Total_Contract_Staff</vt:lpstr>
      <vt:lpstr>Total_Contractual_Admin</vt:lpstr>
      <vt:lpstr>Total_Copying</vt:lpstr>
      <vt:lpstr>Total_Delivery</vt:lpstr>
      <vt:lpstr>Total_Depreciation_Bldg</vt:lpstr>
      <vt:lpstr>Total_Depreciation_Equip</vt:lpstr>
      <vt:lpstr>Total_Depreciation_Transp</vt:lpstr>
      <vt:lpstr>Total_Dues</vt:lpstr>
      <vt:lpstr>Total_Equip_Leasing</vt:lpstr>
      <vt:lpstr>Total_Equip_Maintenance</vt:lpstr>
      <vt:lpstr>Total_GasOil</vt:lpstr>
      <vt:lpstr>Total_HotPrepMealsPurchfromSupplierCentralKitch</vt:lpstr>
      <vt:lpstr>Total_Insurance_Bldg</vt:lpstr>
      <vt:lpstr>Total_Insurance_Transp</vt:lpstr>
      <vt:lpstr>Total_Interest_Equip</vt:lpstr>
      <vt:lpstr>Total_Interest_Transp</vt:lpstr>
      <vt:lpstr>Total_Janitorial</vt:lpstr>
      <vt:lpstr>Total_Legal_Fees</vt:lpstr>
      <vt:lpstr>Total_Liability_Ins</vt:lpstr>
      <vt:lpstr>Total_Materials</vt:lpstr>
      <vt:lpstr>Total_Meal_Freight</vt:lpstr>
      <vt:lpstr>Total_MealsPreparedByProvider</vt:lpstr>
      <vt:lpstr>Total_Mileage</vt:lpstr>
      <vt:lpstr>Total_Mortgage_Interst_Bldg</vt:lpstr>
      <vt:lpstr>Total_O_Supply</vt:lpstr>
      <vt:lpstr>Total_Other_Fees_Admin</vt:lpstr>
      <vt:lpstr>Total_Other_Meal</vt:lpstr>
      <vt:lpstr>Total_Other_Misc_Admin</vt:lpstr>
      <vt:lpstr>Total_Payroll_Taxes___Benefits__Employer_Paid</vt:lpstr>
      <vt:lpstr>Total_Postage</vt:lpstr>
      <vt:lpstr>Total_Printing</vt:lpstr>
      <vt:lpstr>Total_Provider_Prepared_Chilled_Meals</vt:lpstr>
      <vt:lpstr>Total_Provider_Prepared_Frozen_Meals</vt:lpstr>
      <vt:lpstr>Total_Provider_Prepared_Hot_Meals</vt:lpstr>
      <vt:lpstr>Total_Purchased_Chilled_Meals</vt:lpstr>
      <vt:lpstr>Total_Purchased_ChilledMeals</vt:lpstr>
      <vt:lpstr>Total_Purchased_Frozen_Meals</vt:lpstr>
      <vt:lpstr>Total_Purchased_Hot_Meals</vt:lpstr>
      <vt:lpstr>Total_Purchased_ShelfStableMeals</vt:lpstr>
      <vt:lpstr>Total_PurchasedFrozenMeals</vt:lpstr>
      <vt:lpstr>Total_PurchasedMeals</vt:lpstr>
      <vt:lpstr>Total_PurchasedShelfStableMeals</vt:lpstr>
      <vt:lpstr>Total_RawFood</vt:lpstr>
      <vt:lpstr>Total_Rent_Bldg</vt:lpstr>
      <vt:lpstr>Total_Repair_Bldg</vt:lpstr>
      <vt:lpstr>Total_Repair_Transp</vt:lpstr>
      <vt:lpstr>Total_Salaries</vt:lpstr>
      <vt:lpstr>Total_Security_Bldg</vt:lpstr>
      <vt:lpstr>Total_Storage</vt:lpstr>
      <vt:lpstr>Total_Tags</vt:lpstr>
      <vt:lpstr>Total_Taxes</vt:lpstr>
      <vt:lpstr>Total_Telecom</vt:lpstr>
      <vt:lpstr>Total_Tot_Admin</vt:lpstr>
      <vt:lpstr>Total_Tot_Bldg</vt:lpstr>
      <vt:lpstr>Total_Tot_Equip</vt:lpstr>
      <vt:lpstr>Total_Tot_Meals_Food</vt:lpstr>
      <vt:lpstr>Total_Tot_Personnel</vt:lpstr>
      <vt:lpstr>Total_Tot_ProDev</vt:lpstr>
      <vt:lpstr>Total_Tot_TranspTrav</vt:lpstr>
      <vt:lpstr>Total_Total_All_Cost_Areas</vt:lpstr>
      <vt:lpstr>Total_TotalBudgetedMeals</vt:lpstr>
      <vt:lpstr>Total_TotalPurchasedMeals</vt:lpstr>
      <vt:lpstr>Total_Utilities_Bldg</vt:lpstr>
    </vt:vector>
  </TitlesOfParts>
  <Company>Austin, TX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TDoA</dc:creator>
  <cp:lastModifiedBy>Doni Green</cp:lastModifiedBy>
  <cp:lastPrinted>2017-02-09T19:09:53Z</cp:lastPrinted>
  <dcterms:created xsi:type="dcterms:W3CDTF">2000-02-07T19:25:04Z</dcterms:created>
  <dcterms:modified xsi:type="dcterms:W3CDTF">2024-03-29T12:48:57Z</dcterms:modified>
</cp:coreProperties>
</file>