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2.xml" ContentType="application/vnd.openxmlformats-officedocument.drawing+xml"/>
  <Override PartName="/xl/comments1.xml" ContentType="application/vnd.openxmlformats-officedocument.spreadsheetml.comments+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calcChain.xml" ContentType="application/vnd.openxmlformats-officedocument.spreadsheetml.calcChain+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501"/>
  <workbookPr/>
  <mc:AlternateContent xmlns:mc="http://schemas.openxmlformats.org/markup-compatibility/2006">
    <mc:Choice Requires="x15">
      <x15ac:absPath xmlns:x15ac="http://schemas.microsoft.com/office/spreadsheetml/2010/11/ac" url="https://nctcog-my.sharepoint.com/personal/pshinkle_nctcog_org/Documents/PFIA/"/>
    </mc:Choice>
  </mc:AlternateContent>
  <xr:revisionPtr revIDLastSave="0" documentId="8_{153C327A-78CA-4070-BF36-F7FEA7C41910}" xr6:coauthVersionLast="47" xr6:coauthVersionMax="47" xr10:uidLastSave="{00000000-0000-0000-0000-000000000000}"/>
  <bookViews>
    <workbookView xWindow="42945" yWindow="1710" windowWidth="24165" windowHeight="12900" tabRatio="723" firstSheet="21" xr2:uid="{00000000-000D-0000-FFFF-FFFF00000000}"/>
  </bookViews>
  <sheets>
    <sheet name="Summary" sheetId="10" r:id="rId1"/>
    <sheet name="Keyboard" sheetId="9" r:id="rId2"/>
    <sheet name="Security Functions" sheetId="5" r:id="rId3"/>
    <sheet name="Int. Rate Conversion" sheetId="6" r:id="rId4"/>
    <sheet name="Single Cash Flow" sheetId="1" r:id="rId5"/>
    <sheet name="Periodic Cash Flows" sheetId="2" r:id="rId6"/>
    <sheet name="Periodic Variable Cash Flows" sheetId="3" r:id="rId7"/>
    <sheet name="Non-Periodic Cash Flows" sheetId="4" r:id="rId8"/>
    <sheet name="Deprec. &amp; Amort." sheetId="34" r:id="rId9"/>
    <sheet name="Dollar Conv." sheetId="15" r:id="rId10"/>
    <sheet name="Inv. Pool" sheetId="17" r:id="rId11"/>
    <sheet name="Treasury Bills" sheetId="7" r:id="rId12"/>
    <sheet name="Disc. Notes" sheetId="19" r:id="rId13"/>
    <sheet name="Notes" sheetId="20" r:id="rId14"/>
    <sheet name="CDs" sheetId="8" r:id="rId15"/>
    <sheet name="WAM" sheetId="16" r:id="rId16"/>
    <sheet name="Return" sheetId="35" r:id="rId17"/>
    <sheet name="Benford's Law" sheetId="36" r:id="rId18"/>
    <sheet name="Resorting" sheetId="27" r:id="rId19"/>
    <sheet name="Collateral" sheetId="21" r:id="rId20"/>
    <sheet name="Filtering &amp; Subtotal" sheetId="14" r:id="rId21"/>
    <sheet name="SUMIF" sheetId="12" r:id="rId22"/>
    <sheet name="Mult. Criteria" sheetId="18" r:id="rId23"/>
    <sheet name="VLOOKUP" sheetId="24" r:id="rId24"/>
    <sheet name="SUMPRODUCT" sheetId="25" r:id="rId25"/>
    <sheet name="DataV" sheetId="23" r:id="rId26"/>
    <sheet name="INDEX &amp; MATCH" sheetId="22" r:id="rId27"/>
    <sheet name="TEXT" sheetId="28" r:id="rId28"/>
    <sheet name="IF" sheetId="29" r:id="rId29"/>
    <sheet name="Cond. Form." sheetId="30" r:id="rId30"/>
    <sheet name="Pivot" sheetId="31" r:id="rId31"/>
    <sheet name="Comparing" sheetId="32" r:id="rId32"/>
  </sheets>
  <definedNames>
    <definedName name="_xlnm._FilterDatabase" localSheetId="20" hidden="1">'Filtering &amp; Subtotal'!$A$6:$F$59</definedName>
    <definedName name="EMPLOYEES">Comparing!$F$5:$F$28</definedName>
    <definedName name="VENDORS">Comparing!$A$5:$A$53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6" i="17" l="1"/>
  <c r="J5" i="17"/>
  <c r="B28" i="16"/>
  <c r="F27" i="16"/>
  <c r="F26" i="16"/>
  <c r="F25" i="16"/>
  <c r="F24" i="16"/>
  <c r="F23" i="16"/>
  <c r="F22" i="16"/>
  <c r="F28" i="16" s="1"/>
  <c r="B13" i="20"/>
  <c r="E8" i="20"/>
  <c r="E19" i="19"/>
  <c r="G8" i="7"/>
  <c r="G16" i="7"/>
  <c r="G24" i="7"/>
  <c r="F17" i="35" l="1"/>
  <c r="D20" i="35"/>
  <c r="C20" i="35"/>
  <c r="E18" i="35"/>
  <c r="F18" i="35" s="1"/>
  <c r="E19" i="35"/>
  <c r="F19" i="35" s="1"/>
  <c r="E17" i="35"/>
  <c r="D9" i="35"/>
  <c r="C9" i="35"/>
  <c r="E7" i="35" s="1"/>
  <c r="F7" i="35" s="1"/>
  <c r="F84" i="34"/>
  <c r="F85" i="34"/>
  <c r="F86" i="34"/>
  <c r="F87" i="34"/>
  <c r="F83" i="34"/>
  <c r="G83" i="34" s="1"/>
  <c r="G82" i="34"/>
  <c r="F72" i="34"/>
  <c r="F73" i="34"/>
  <c r="F74" i="34"/>
  <c r="F75" i="34"/>
  <c r="F71" i="34"/>
  <c r="G70" i="34"/>
  <c r="F60" i="34"/>
  <c r="F61" i="34"/>
  <c r="F62" i="34"/>
  <c r="F63" i="34"/>
  <c r="F59" i="34"/>
  <c r="G58" i="34"/>
  <c r="F48" i="34"/>
  <c r="F49" i="34"/>
  <c r="F50" i="34"/>
  <c r="F51" i="34"/>
  <c r="F47" i="34"/>
  <c r="G46" i="34"/>
  <c r="F36" i="34"/>
  <c r="F37" i="34"/>
  <c r="F38" i="34"/>
  <c r="F39" i="34"/>
  <c r="F35" i="34"/>
  <c r="G34" i="34"/>
  <c r="F23" i="34"/>
  <c r="F24" i="34"/>
  <c r="F25" i="34"/>
  <c r="F26" i="34"/>
  <c r="F27" i="34"/>
  <c r="F22" i="34"/>
  <c r="G22" i="34" s="1"/>
  <c r="F13" i="34"/>
  <c r="F9" i="34"/>
  <c r="F10" i="34"/>
  <c r="F11" i="34"/>
  <c r="F12" i="34"/>
  <c r="F8" i="34"/>
  <c r="F9" i="35" l="1"/>
  <c r="E6" i="35"/>
  <c r="F6" i="35" s="1"/>
  <c r="E9" i="35"/>
  <c r="E8" i="35"/>
  <c r="F8" i="35" s="1"/>
  <c r="F20" i="35"/>
  <c r="E20" i="35"/>
  <c r="G35" i="34"/>
  <c r="G36" i="34" s="1"/>
  <c r="G37" i="34" s="1"/>
  <c r="G38" i="34" s="1"/>
  <c r="G39" i="34" s="1"/>
  <c r="G84" i="34"/>
  <c r="G85" i="34" s="1"/>
  <c r="G86" i="34" s="1"/>
  <c r="G87" i="34" s="1"/>
  <c r="G71" i="34"/>
  <c r="G72" i="34" s="1"/>
  <c r="G73" i="34" s="1"/>
  <c r="G74" i="34" s="1"/>
  <c r="G75" i="34" s="1"/>
  <c r="G23" i="34"/>
  <c r="G59" i="34"/>
  <c r="G60" i="34" s="1"/>
  <c r="G61" i="34" s="1"/>
  <c r="G62" i="34" s="1"/>
  <c r="G63" i="34" s="1"/>
  <c r="G24" i="34"/>
  <c r="G25" i="34" s="1"/>
  <c r="G26" i="34" s="1"/>
  <c r="G27" i="34" s="1"/>
  <c r="G47" i="34"/>
  <c r="G48" i="34" s="1"/>
  <c r="G49" i="34" s="1"/>
  <c r="G50" i="34" s="1"/>
  <c r="G51" i="34" s="1"/>
  <c r="B15" i="8"/>
  <c r="B16" i="8"/>
  <c r="B14" i="8"/>
  <c r="B13" i="8"/>
  <c r="B12" i="8"/>
  <c r="L27" i="29" l="1"/>
  <c r="L26" i="29"/>
  <c r="L25" i="29"/>
  <c r="L24" i="29"/>
  <c r="L23" i="29"/>
  <c r="L22" i="29"/>
  <c r="L21" i="29"/>
  <c r="L20" i="29"/>
  <c r="L19" i="29"/>
  <c r="L18" i="29"/>
  <c r="L9" i="29"/>
  <c r="L8" i="29"/>
  <c r="L7" i="29"/>
  <c r="L6" i="29"/>
  <c r="D7" i="29"/>
  <c r="D8" i="29"/>
  <c r="D9" i="29"/>
  <c r="D10" i="29"/>
  <c r="D11" i="29"/>
  <c r="D12" i="29"/>
  <c r="D13" i="29"/>
  <c r="D14" i="29"/>
  <c r="D15" i="29"/>
  <c r="D16" i="29"/>
  <c r="D17" i="29"/>
  <c r="D18" i="29"/>
  <c r="D19" i="29"/>
  <c r="D20" i="29"/>
  <c r="D21" i="29"/>
  <c r="D22" i="29"/>
  <c r="D23" i="29"/>
  <c r="D24" i="29"/>
  <c r="D25" i="29"/>
  <c r="D26" i="29"/>
  <c r="D6" i="29"/>
  <c r="G36" i="28"/>
  <c r="F36" i="28"/>
  <c r="E36" i="28"/>
  <c r="G35" i="28"/>
  <c r="F35" i="28"/>
  <c r="E35" i="28"/>
  <c r="G34" i="28"/>
  <c r="F34" i="28"/>
  <c r="E34" i="28"/>
  <c r="G33" i="28"/>
  <c r="F33" i="28"/>
  <c r="E33" i="28"/>
  <c r="G32" i="28"/>
  <c r="F32" i="28"/>
  <c r="E32" i="28"/>
  <c r="G31" i="28"/>
  <c r="F31" i="28"/>
  <c r="E31" i="28"/>
  <c r="G30" i="28"/>
  <c r="F30" i="28"/>
  <c r="E30" i="28"/>
  <c r="G29" i="28"/>
  <c r="F29" i="28"/>
  <c r="E29" i="28"/>
  <c r="G28" i="28"/>
  <c r="F28" i="28"/>
  <c r="E28" i="28"/>
  <c r="G27" i="28"/>
  <c r="F27" i="28"/>
  <c r="E27" i="28"/>
  <c r="E17" i="28"/>
  <c r="E16" i="28"/>
  <c r="E14" i="28"/>
  <c r="E13" i="28"/>
  <c r="E12" i="28"/>
  <c r="E11" i="28"/>
  <c r="E10" i="28"/>
  <c r="E8" i="28"/>
  <c r="E7" i="28"/>
  <c r="E6" i="28"/>
  <c r="E5" i="28"/>
  <c r="D18" i="27"/>
  <c r="C18" i="27"/>
  <c r="D17" i="27"/>
  <c r="C17" i="27"/>
  <c r="D16" i="27"/>
  <c r="C16" i="27"/>
  <c r="D15" i="27"/>
  <c r="C15" i="27"/>
  <c r="D14" i="27"/>
  <c r="C14" i="27"/>
  <c r="D13" i="27"/>
  <c r="C13" i="27"/>
  <c r="D12" i="27"/>
  <c r="C12" i="27"/>
  <c r="D11" i="27"/>
  <c r="C11" i="27"/>
  <c r="D10" i="27"/>
  <c r="C10" i="27"/>
  <c r="D9" i="27"/>
  <c r="C9" i="27"/>
  <c r="D8" i="27"/>
  <c r="C8" i="27"/>
  <c r="D7" i="27"/>
  <c r="C7" i="27"/>
  <c r="D6" i="27"/>
  <c r="C6" i="27"/>
  <c r="D5" i="27"/>
  <c r="C5" i="27"/>
  <c r="F5" i="27" l="1"/>
  <c r="F7" i="27"/>
  <c r="F15" i="27"/>
  <c r="F10" i="27"/>
  <c r="F12" i="27"/>
  <c r="F16" i="27"/>
  <c r="F6" i="27"/>
  <c r="F9" i="27"/>
  <c r="F11" i="27"/>
  <c r="F14" i="27"/>
  <c r="F17" i="27"/>
  <c r="F8" i="27"/>
  <c r="F13" i="27"/>
  <c r="F18" i="27"/>
  <c r="M13" i="25"/>
  <c r="D25" i="25"/>
  <c r="C25" i="25"/>
  <c r="D22" i="25"/>
  <c r="J23" i="24"/>
  <c r="E23" i="24"/>
  <c r="M7" i="22" l="1"/>
  <c r="E25" i="22"/>
  <c r="E24" i="22"/>
  <c r="E23" i="22"/>
  <c r="E22" i="22"/>
  <c r="E21" i="22"/>
  <c r="E20" i="22"/>
  <c r="E19" i="22"/>
  <c r="E26" i="22"/>
  <c r="E27" i="22"/>
  <c r="E28" i="22"/>
  <c r="E29" i="22"/>
  <c r="E30" i="22"/>
  <c r="E31" i="22"/>
  <c r="E32" i="22"/>
  <c r="E33" i="22"/>
  <c r="E34" i="22"/>
  <c r="E18" i="22"/>
  <c r="E17" i="22"/>
  <c r="E7" i="22"/>
  <c r="E8" i="22"/>
  <c r="E9" i="22"/>
  <c r="E10" i="22"/>
  <c r="E11" i="22"/>
  <c r="E12" i="22"/>
  <c r="E13" i="22"/>
  <c r="E14" i="22"/>
  <c r="E15" i="22"/>
  <c r="E16" i="22"/>
  <c r="E6" i="22"/>
  <c r="B17" i="21" l="1"/>
  <c r="E16" i="21"/>
  <c r="E15" i="21"/>
  <c r="E14" i="21"/>
  <c r="E17" i="21" s="1"/>
  <c r="E21" i="21" s="1"/>
  <c r="C8" i="21"/>
  <c r="B8" i="21"/>
  <c r="E7" i="21"/>
  <c r="E6" i="21"/>
  <c r="E8" i="21" s="1"/>
  <c r="C72" i="20"/>
  <c r="C67" i="20"/>
  <c r="C62" i="20"/>
  <c r="B45" i="20"/>
  <c r="B40" i="20"/>
  <c r="B42" i="20" s="1"/>
  <c r="B11" i="20"/>
  <c r="B9" i="20"/>
  <c r="B17" i="20" s="1"/>
  <c r="B60" i="19"/>
  <c r="C54" i="19"/>
  <c r="B52" i="19"/>
  <c r="C47" i="19" s="1"/>
  <c r="C63" i="19" s="1"/>
  <c r="B41" i="19"/>
  <c r="B27" i="19"/>
  <c r="B8" i="19"/>
  <c r="E10" i="19" s="1"/>
  <c r="E23" i="21" l="1"/>
  <c r="C23" i="21" s="1"/>
  <c r="E13" i="19"/>
  <c r="E16" i="19" s="1"/>
  <c r="F14" i="18" a="1"/>
  <c r="F14" i="18" s="1"/>
  <c r="F13" i="18" a="1"/>
  <c r="F13" i="18" s="1"/>
  <c r="F12" i="18" a="1"/>
  <c r="F12" i="18" s="1"/>
  <c r="F11" i="18" a="1"/>
  <c r="F11" i="18" s="1"/>
  <c r="F10" i="18" a="1"/>
  <c r="F10" i="18" s="1"/>
  <c r="F9" i="18" a="1"/>
  <c r="F9" i="18" s="1"/>
  <c r="F8" i="18" a="1"/>
  <c r="F8" i="18" s="1"/>
  <c r="F7" i="18"/>
  <c r="F6" i="18"/>
  <c r="F5" i="18"/>
  <c r="E22" i="19" l="1"/>
  <c r="H42" i="17"/>
  <c r="G42" i="17"/>
  <c r="C42" i="17"/>
  <c r="I41" i="17"/>
  <c r="J41" i="17" s="1"/>
  <c r="I40" i="17" l="1"/>
  <c r="J40" i="17" s="1"/>
  <c r="I39" i="17"/>
  <c r="J39" i="17" s="1"/>
  <c r="I38" i="17"/>
  <c r="J38" i="17" s="1"/>
  <c r="I37" i="17"/>
  <c r="J37" i="17" s="1"/>
  <c r="I36" i="17"/>
  <c r="J36" i="17" s="1"/>
  <c r="I35" i="17"/>
  <c r="J35" i="17" s="1"/>
  <c r="I34" i="17"/>
  <c r="J34" i="17" s="1"/>
  <c r="I33" i="17"/>
  <c r="J33" i="17" s="1"/>
  <c r="I32" i="17"/>
  <c r="J32" i="17" s="1"/>
  <c r="I31" i="17"/>
  <c r="J31" i="17" s="1"/>
  <c r="I30" i="17"/>
  <c r="J30" i="17" s="1"/>
  <c r="I29" i="17"/>
  <c r="J29" i="17" s="1"/>
  <c r="I28" i="17"/>
  <c r="J28" i="17" s="1"/>
  <c r="I27" i="17"/>
  <c r="J27" i="17" s="1"/>
  <c r="I26" i="17"/>
  <c r="J26" i="17" s="1"/>
  <c r="I25" i="17"/>
  <c r="J25" i="17" s="1"/>
  <c r="D24" i="17"/>
  <c r="D23" i="17"/>
  <c r="D22" i="17"/>
  <c r="D21" i="17"/>
  <c r="D20" i="17"/>
  <c r="D19" i="17"/>
  <c r="D18" i="17"/>
  <c r="D17" i="17"/>
  <c r="D16" i="17"/>
  <c r="D15" i="17"/>
  <c r="D14" i="17"/>
  <c r="D13" i="17"/>
  <c r="D12" i="17"/>
  <c r="A12" i="17"/>
  <c r="A13" i="17" s="1"/>
  <c r="I11" i="17"/>
  <c r="J11" i="17" s="1"/>
  <c r="D11" i="17"/>
  <c r="B11" i="17"/>
  <c r="F12" i="17" l="1"/>
  <c r="I12" i="17" s="1"/>
  <c r="F13" i="17" s="1"/>
  <c r="I13" i="17" s="1"/>
  <c r="D42" i="17"/>
  <c r="E19" i="17"/>
  <c r="E20" i="17"/>
  <c r="E21" i="17"/>
  <c r="E18" i="17"/>
  <c r="E23" i="17"/>
  <c r="B13" i="17"/>
  <c r="A14" i="17"/>
  <c r="K11" i="17"/>
  <c r="B12" i="17"/>
  <c r="E22" i="17"/>
  <c r="E24" i="17"/>
  <c r="B14" i="16"/>
  <c r="D12" i="16" s="1"/>
  <c r="D23" i="15"/>
  <c r="D24" i="15"/>
  <c r="D22" i="15"/>
  <c r="D21" i="15"/>
  <c r="D20" i="15"/>
  <c r="D11" i="15"/>
  <c r="D12" i="15"/>
  <c r="D10" i="15"/>
  <c r="D9" i="15"/>
  <c r="D8" i="15"/>
  <c r="J12" i="17" l="1"/>
  <c r="K12" i="17"/>
  <c r="D10" i="16"/>
  <c r="D9" i="16"/>
  <c r="E42" i="17"/>
  <c r="J13" i="17"/>
  <c r="F14" i="17"/>
  <c r="I14" i="17" s="1"/>
  <c r="B14" i="17"/>
  <c r="A15" i="17"/>
  <c r="D8" i="16"/>
  <c r="D13" i="16"/>
  <c r="D11" i="16"/>
  <c r="F59" i="14"/>
  <c r="F55" i="14"/>
  <c r="F53" i="14"/>
  <c r="F51" i="14"/>
  <c r="F47" i="14"/>
  <c r="F43" i="14"/>
  <c r="F37" i="14"/>
  <c r="F35" i="14"/>
  <c r="F33" i="14"/>
  <c r="F31" i="14"/>
  <c r="F25" i="14"/>
  <c r="F18" i="14"/>
  <c r="B4" i="14"/>
  <c r="H16" i="12"/>
  <c r="H15" i="12"/>
  <c r="H14" i="12"/>
  <c r="H13" i="12"/>
  <c r="H28" i="12"/>
  <c r="H27" i="12"/>
  <c r="H26" i="12"/>
  <c r="H25" i="12"/>
  <c r="H24" i="12"/>
  <c r="H8" i="12"/>
  <c r="H23" i="12"/>
  <c r="H7" i="12"/>
  <c r="H22" i="12"/>
  <c r="H6" i="12"/>
  <c r="H21" i="12"/>
  <c r="H5" i="12"/>
  <c r="D16" i="8"/>
  <c r="D15" i="8"/>
  <c r="D14" i="8"/>
  <c r="D13" i="8"/>
  <c r="D12" i="8"/>
  <c r="C16" i="8"/>
  <c r="C15" i="8"/>
  <c r="C14" i="8"/>
  <c r="C13" i="8"/>
  <c r="C12" i="8"/>
  <c r="D14" i="16" l="1"/>
  <c r="B15" i="17"/>
  <c r="A16" i="17"/>
  <c r="J14" i="17"/>
  <c r="F15" i="17"/>
  <c r="I15" i="17" s="1"/>
  <c r="K13" i="17"/>
  <c r="F60" i="14"/>
  <c r="F4" i="14"/>
  <c r="H17" i="12"/>
  <c r="H9" i="12"/>
  <c r="H29" i="12"/>
  <c r="E24" i="7"/>
  <c r="E16" i="7"/>
  <c r="E8" i="7"/>
  <c r="D19" i="6"/>
  <c r="D20" i="6"/>
  <c r="D21" i="6"/>
  <c r="D18" i="6"/>
  <c r="D9" i="6"/>
  <c r="D10" i="6"/>
  <c r="D11" i="6"/>
  <c r="D8" i="6"/>
  <c r="E160" i="5"/>
  <c r="E151" i="5"/>
  <c r="E140" i="5"/>
  <c r="E131" i="5"/>
  <c r="E121" i="5"/>
  <c r="E112" i="5"/>
  <c r="E101" i="5"/>
  <c r="E90" i="5"/>
  <c r="E78" i="5"/>
  <c r="E66" i="5"/>
  <c r="E56" i="5"/>
  <c r="K14" i="17" l="1"/>
  <c r="F16" i="17"/>
  <c r="I16" i="17" s="1"/>
  <c r="J15" i="17"/>
  <c r="B16" i="17"/>
  <c r="A17" i="17"/>
  <c r="E47" i="5"/>
  <c r="E37" i="5"/>
  <c r="E28" i="5"/>
  <c r="E8" i="5"/>
  <c r="E19" i="5"/>
  <c r="E27" i="4"/>
  <c r="E26" i="4"/>
  <c r="E25" i="4"/>
  <c r="E24" i="4"/>
  <c r="E23" i="4"/>
  <c r="E14" i="4"/>
  <c r="E13" i="4"/>
  <c r="E12" i="4"/>
  <c r="E10" i="4"/>
  <c r="E11" i="4"/>
  <c r="D40" i="3"/>
  <c r="D39" i="3"/>
  <c r="D38" i="3"/>
  <c r="D37" i="3"/>
  <c r="D36" i="3"/>
  <c r="D27" i="3"/>
  <c r="D26" i="3"/>
  <c r="D25" i="3"/>
  <c r="D24" i="3"/>
  <c r="D23" i="3"/>
  <c r="D14" i="3"/>
  <c r="D13" i="3"/>
  <c r="D12" i="3"/>
  <c r="D11" i="3"/>
  <c r="D10" i="3"/>
  <c r="E11" i="2"/>
  <c r="E12" i="2"/>
  <c r="E13" i="2"/>
  <c r="E14" i="2"/>
  <c r="K15" i="17" l="1"/>
  <c r="B17" i="17"/>
  <c r="A18" i="17"/>
  <c r="F17" i="17"/>
  <c r="I17" i="17" s="1"/>
  <c r="J16" i="17"/>
  <c r="F103" i="2"/>
  <c r="H103" i="2" s="1"/>
  <c r="F109" i="2"/>
  <c r="H109" i="2" s="1"/>
  <c r="F94" i="2"/>
  <c r="F90" i="2"/>
  <c r="D81" i="2"/>
  <c r="D80" i="2"/>
  <c r="F71" i="2"/>
  <c r="F62" i="2"/>
  <c r="D52" i="2"/>
  <c r="D53" i="2"/>
  <c r="F43" i="2"/>
  <c r="F39" i="2"/>
  <c r="E29" i="2"/>
  <c r="E28" i="2"/>
  <c r="E27" i="2"/>
  <c r="E26" i="2"/>
  <c r="E25" i="2"/>
  <c r="E10" i="2"/>
  <c r="E16" i="2" s="1"/>
  <c r="C56" i="1"/>
  <c r="E44" i="1"/>
  <c r="D45" i="1" s="1"/>
  <c r="B36" i="1"/>
  <c r="E23" i="1"/>
  <c r="D24" i="1" s="1"/>
  <c r="D15" i="1"/>
  <c r="E9" i="1"/>
  <c r="K16" i="17" l="1"/>
  <c r="F18" i="17"/>
  <c r="I18" i="17" s="1"/>
  <c r="J17" i="17"/>
  <c r="B18" i="17"/>
  <c r="A19" i="17"/>
  <c r="E31" i="2"/>
  <c r="E45" i="1"/>
  <c r="D46" i="1" s="1"/>
  <c r="D10" i="1"/>
  <c r="E10" i="1" s="1"/>
  <c r="K17" i="17" l="1"/>
  <c r="B19" i="17"/>
  <c r="A20" i="17"/>
  <c r="F19" i="17"/>
  <c r="I19" i="17" s="1"/>
  <c r="J18" i="17"/>
  <c r="E46" i="1"/>
  <c r="D47" i="1" s="1"/>
  <c r="E24" i="1"/>
  <c r="D25" i="1" s="1"/>
  <c r="D11" i="1"/>
  <c r="E11" i="1" s="1"/>
  <c r="K18" i="17" l="1"/>
  <c r="F20" i="17"/>
  <c r="I20" i="17" s="1"/>
  <c r="J19" i="17"/>
  <c r="B20" i="17"/>
  <c r="A21" i="17"/>
  <c r="E47" i="1"/>
  <c r="D48" i="1" s="1"/>
  <c r="E25" i="1"/>
  <c r="D26" i="1" s="1"/>
  <c r="D12" i="1"/>
  <c r="E12" i="1" s="1"/>
  <c r="K19" i="17" l="1"/>
  <c r="B21" i="17"/>
  <c r="A22" i="17"/>
  <c r="F21" i="17"/>
  <c r="I21" i="17" s="1"/>
  <c r="J20" i="17"/>
  <c r="E48" i="1"/>
  <c r="D49" i="1" s="1"/>
  <c r="D13" i="1"/>
  <c r="K20" i="17" l="1"/>
  <c r="F22" i="17"/>
  <c r="I22" i="17" s="1"/>
  <c r="J21" i="17"/>
  <c r="K21" i="17" s="1"/>
  <c r="B22" i="17"/>
  <c r="A23" i="17"/>
  <c r="E49" i="1"/>
  <c r="D50" i="1" s="1"/>
  <c r="E26" i="1"/>
  <c r="E13" i="1"/>
  <c r="E15" i="1" s="1"/>
  <c r="B23" i="17" l="1"/>
  <c r="A24" i="17"/>
  <c r="F23" i="17"/>
  <c r="I23" i="17" s="1"/>
  <c r="J22" i="17"/>
  <c r="K22" i="17" s="1"/>
  <c r="E50" i="1"/>
  <c r="D51" i="1" s="1"/>
  <c r="D27" i="1"/>
  <c r="E27" i="1" s="1"/>
  <c r="J23" i="17" l="1"/>
  <c r="K23" i="17" s="1"/>
  <c r="F24" i="17"/>
  <c r="I24" i="17" s="1"/>
  <c r="J24" i="17" s="1"/>
  <c r="B24" i="17"/>
  <c r="A25" i="17"/>
  <c r="E51" i="1"/>
  <c r="D52" i="1" s="1"/>
  <c r="D28" i="1"/>
  <c r="J42" i="17" l="1"/>
  <c r="K24" i="17"/>
  <c r="K25" i="17" s="1"/>
  <c r="K26" i="17" s="1"/>
  <c r="K27" i="17" s="1"/>
  <c r="K28" i="17" s="1"/>
  <c r="K29" i="17" s="1"/>
  <c r="K30" i="17" s="1"/>
  <c r="K31" i="17" s="1"/>
  <c r="K32" i="17" s="1"/>
  <c r="K33" i="17" s="1"/>
  <c r="K34" i="17" s="1"/>
  <c r="K35" i="17" s="1"/>
  <c r="K36" i="17" s="1"/>
  <c r="K37" i="17" s="1"/>
  <c r="K38" i="17" s="1"/>
  <c r="K39" i="17" s="1"/>
  <c r="K40" i="17" s="1"/>
  <c r="K41" i="17" s="1"/>
  <c r="K42" i="17" s="1"/>
  <c r="A26" i="17"/>
  <c r="B25" i="17"/>
  <c r="E52" i="1"/>
  <c r="D53" i="1" s="1"/>
  <c r="E28" i="1"/>
  <c r="D29" i="1" s="1"/>
  <c r="A27" i="17" l="1"/>
  <c r="B26" i="17"/>
  <c r="E53" i="1"/>
  <c r="D54" i="1" s="1"/>
  <c r="E29" i="1"/>
  <c r="D30" i="1" s="1"/>
  <c r="B27" i="17" l="1"/>
  <c r="A28" i="17"/>
  <c r="E54" i="1"/>
  <c r="E30" i="1"/>
  <c r="D31" i="1" s="1"/>
  <c r="A29" i="17" l="1"/>
  <c r="B28" i="17"/>
  <c r="E31" i="1"/>
  <c r="D32" i="1" s="1"/>
  <c r="B29" i="17" l="1"/>
  <c r="A30" i="17"/>
  <c r="E32" i="1"/>
  <c r="B30" i="17" l="1"/>
  <c r="A31" i="17"/>
  <c r="D33" i="1"/>
  <c r="A32" i="17" l="1"/>
  <c r="B31" i="17"/>
  <c r="E33" i="1"/>
  <c r="D34" i="1"/>
  <c r="E34" i="1" s="1"/>
  <c r="E36" i="1" s="1"/>
  <c r="B32" i="17" l="1"/>
  <c r="A33" i="17"/>
  <c r="A34" i="17" l="1"/>
  <c r="B33" i="17"/>
  <c r="A35" i="17" l="1"/>
  <c r="B34" i="17"/>
  <c r="B35" i="17" l="1"/>
  <c r="A36" i="17"/>
  <c r="A37" i="17" l="1"/>
  <c r="B36" i="17"/>
  <c r="B37" i="17" l="1"/>
  <c r="A38" i="17"/>
  <c r="B38" i="17" l="1"/>
  <c r="A39" i="17"/>
  <c r="A40" i="17" l="1"/>
  <c r="B39" i="17"/>
  <c r="B40" i="17" l="1"/>
  <c r="A41" i="17"/>
  <c r="B41" i="17"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User</author>
  </authors>
  <commentList>
    <comment ref="D33" authorId="0" shapeId="0" xr:uid="{00000000-0006-0000-1800-000001000000}">
      <text>
        <r>
          <rPr>
            <b/>
            <sz val="8"/>
            <color indexed="81"/>
            <rFont val="Tahoma"/>
            <family val="2"/>
          </rPr>
          <t>Reminder: The FIND function does not count the occurences of a FIND, it provides the location of the FIND results.</t>
        </r>
      </text>
    </comment>
  </commentList>
</comments>
</file>

<file path=xl/sharedStrings.xml><?xml version="1.0" encoding="utf-8"?>
<sst xmlns="http://schemas.openxmlformats.org/spreadsheetml/2006/main" count="2966" uniqueCount="1557">
  <si>
    <t>SINGLE CASH FLOW FUNCTIONS</t>
  </si>
  <si>
    <t>FVSCHEDULE</t>
  </si>
  <si>
    <t>Calculate the future value of an investment of $10,000, over 5 years.</t>
  </si>
  <si>
    <t>Rate</t>
  </si>
  <si>
    <t>Int.</t>
  </si>
  <si>
    <t>Yr. 2</t>
  </si>
  <si>
    <t>Yr. 3</t>
  </si>
  <si>
    <t>Yr. 4</t>
  </si>
  <si>
    <t>Yr. 5</t>
  </si>
  <si>
    <t>Yr. 1</t>
  </si>
  <si>
    <t>Prob:</t>
  </si>
  <si>
    <t>PDURATION</t>
  </si>
  <si>
    <t>Calculate the number of years for $10,000, at 4% per year, to reach $15,000.</t>
  </si>
  <si>
    <t>Yr. 6</t>
  </si>
  <si>
    <t>Yr. 7</t>
  </si>
  <si>
    <t>Yr. 8</t>
  </si>
  <si>
    <t>Yr. 9</t>
  </si>
  <si>
    <t>Yr. 10</t>
  </si>
  <si>
    <t>Yr. 11</t>
  </si>
  <si>
    <t>Yr. 0</t>
  </si>
  <si>
    <t>RRI</t>
  </si>
  <si>
    <t>Calculates the interest rate required for an investment to grow to a specified future value.</t>
  </si>
  <si>
    <t>Calculates the number of periods required for an investment to reach a specified value.</t>
  </si>
  <si>
    <t>Calculates the future value of an initial principal, after applying a series of compound interest rates.</t>
  </si>
  <si>
    <t>Calculate the int. rate for $10,000, to reach a value of $15,000 over 10 years.</t>
  </si>
  <si>
    <t>PERIODIC CONSTANT CASH FLOWS</t>
  </si>
  <si>
    <t>CUMIPMT</t>
  </si>
  <si>
    <t>Calculate the cumulative interest of a 5% loan of $50,000 over 5 years.</t>
  </si>
  <si>
    <t>60 mo.</t>
  </si>
  <si>
    <t>(1-12)</t>
  </si>
  <si>
    <t>(13-24)</t>
  </si>
  <si>
    <t>(25-36)</t>
  </si>
  <si>
    <t>(37-48)</t>
  </si>
  <si>
    <t>(49-60)</t>
  </si>
  <si>
    <t>CUMPRINC</t>
  </si>
  <si>
    <t>Calculate the cumulative payment of a 5% loan of $50,000 over 5 years.</t>
  </si>
  <si>
    <t>Prin.</t>
  </si>
  <si>
    <t>Calculates the cumulative principal paid on a loan, between two specified periods.</t>
  </si>
  <si>
    <t>Calculates the cumulative interest paid between two specified periods.</t>
  </si>
  <si>
    <t>Interest payment to the loan is to be made at the end of each month.</t>
  </si>
  <si>
    <t>FV</t>
  </si>
  <si>
    <t>Calculates the future value of an investment with periodic constant payments and a constant interest rate.</t>
  </si>
  <si>
    <t>per month</t>
  </si>
  <si>
    <t>years</t>
  </si>
  <si>
    <t xml:space="preserve">years at </t>
  </si>
  <si>
    <t xml:space="preserve">per month </t>
  </si>
  <si>
    <t>FV( rate, nper, [pmt], [pv], [type] )</t>
  </si>
  <si>
    <t xml:space="preserve">per quarter </t>
  </si>
  <si>
    <t>Pmt @ END</t>
  </si>
  <si>
    <t>Pmt @ START</t>
  </si>
  <si>
    <t>CUMIPMT( rate, nper, pv, start_period, end_period, type )</t>
  </si>
  <si>
    <t>CUMPRINC( rate, nper, pv, start_period, end_period, type )</t>
  </si>
  <si>
    <t>FVSCHEDULE( principal, schedule )</t>
  </si>
  <si>
    <t>PDURATION( rate, pv, fv )</t>
  </si>
  <si>
    <t>RRI( nper, pv, fv )</t>
  </si>
  <si>
    <t>IPMT</t>
  </si>
  <si>
    <t>Calculates the interest payment of an investment, with periodic constant payments and a constant interest rate.</t>
  </si>
  <si>
    <t>IPMT( rate, per, nper, pv, [fv], [type] )</t>
  </si>
  <si>
    <t>Calculate the interest payment during months 1 and 2 for a loan of $50,000 over 5 years.</t>
  </si>
  <si>
    <t>loan</t>
  </si>
  <si>
    <t>Month 1 Int:</t>
  </si>
  <si>
    <t>Month 2 Int:</t>
  </si>
  <si>
    <t>Monthly</t>
  </si>
  <si>
    <t>NPER</t>
  </si>
  <si>
    <t>Calculate the number of years to pay off a $50,000 loan at $6,000 per year. Interest is 4% per year.</t>
  </si>
  <si>
    <t>annual pmt.</t>
  </si>
  <si>
    <t xml:space="preserve"> per yr.</t>
  </si>
  <si>
    <t>PMT</t>
  </si>
  <si>
    <t>Calculates the payments required to reduce a loan, from a supplied present value to a specified future value.</t>
  </si>
  <si>
    <t>NPER( rate, pmt, pv, [fv], [type] )</t>
  </si>
  <si>
    <t>Calculate the monthly payments on a $50,000 loan paid off in 5 years. Interest rate of 5%.</t>
  </si>
  <si>
    <t>PMT( rate, nper, pv, [fv], [type] )</t>
  </si>
  <si>
    <t>PPMT</t>
  </si>
  <si>
    <t>PV</t>
  </si>
  <si>
    <t>Calculates the present value of an investment (Total amount that a series of future periodic payments is worth now).</t>
  </si>
  <si>
    <t>Calculate the present value of an annuity that pays $1,000 / month for 5 years. The interest is 5%.</t>
  </si>
  <si>
    <t>PV( rate, nper, [pmt], [fv], [type] )</t>
  </si>
  <si>
    <t>RATE</t>
  </si>
  <si>
    <t>Calculates the interest rate to pay off a specified amount of a loan, or reach a target amount over a given period.</t>
  </si>
  <si>
    <t>Mon. Pmt.</t>
  </si>
  <si>
    <t>RATE( nper, pmt, pv, [fv], [type], [guess] )*12</t>
  </si>
  <si>
    <t>savings</t>
  </si>
  <si>
    <t xml:space="preserve">x 12 months = </t>
  </si>
  <si>
    <t>Calculate the interest rate, with fixed payments of $1,000 / mo. to pay off a $50,000 loan over 5 years.</t>
  </si>
  <si>
    <t>Calculate the interest, to save $20,000 over 2 years starting at 0.00 and monthly savings of $800.</t>
  </si>
  <si>
    <t>PERIODIC VARIABLE CASH FLOWS</t>
  </si>
  <si>
    <t>IRR</t>
  </si>
  <si>
    <t>Calculates the internal rate of return for a series of periodic cash flows.</t>
  </si>
  <si>
    <t>Initial Inv.</t>
  </si>
  <si>
    <t>Yr. 1 Inc.</t>
  </si>
  <si>
    <t>Yr. 2 Inc.</t>
  </si>
  <si>
    <t>Yr. 3 Inc.</t>
  </si>
  <si>
    <t>Yr. 4 Inc.</t>
  </si>
  <si>
    <t>Yr. 5 Inc.</t>
  </si>
  <si>
    <t>IRR( values, [guess] )</t>
  </si>
  <si>
    <t>MIRR</t>
  </si>
  <si>
    <t>Calculate the Internal Rate of Return from an initial inv. with variable cashflows.</t>
  </si>
  <si>
    <t xml:space="preserve">Calculate the Modified Internal Rate of Return from an initial inv. With variable cashflows including interest reinvestment. </t>
  </si>
  <si>
    <t>MIRR( values, finance_rate, reinvest_rate )</t>
  </si>
  <si>
    <t>Int. Paid</t>
  </si>
  <si>
    <t>Int. Reinvested</t>
  </si>
  <si>
    <t>NPV</t>
  </si>
  <si>
    <t>Calculates the net present value of an investment, based on a supplied discount rate, and a series of periodic cash flows.</t>
  </si>
  <si>
    <t>NPV( rate, value1, [value2], [value3], ... )</t>
  </si>
  <si>
    <t xml:space="preserve">Calculate NPV with an initial investment and rate using cash flow returns </t>
  </si>
  <si>
    <t>NON-PERIODIC VARIABLE CASH FLOWS</t>
  </si>
  <si>
    <t>XIRR</t>
  </si>
  <si>
    <t>Calculates the internal rate of return for a schedule of cash flows occurring at a series of supplied dates.</t>
  </si>
  <si>
    <t>Period 1 Inc.</t>
  </si>
  <si>
    <t>Period 2 Inc.</t>
  </si>
  <si>
    <t>Period 3 Inc.</t>
  </si>
  <si>
    <t>Period 4 Inc.</t>
  </si>
  <si>
    <t>Period 5 Inc.</t>
  </si>
  <si>
    <t>Dates</t>
  </si>
  <si>
    <t>Calculate the Internal Rate of Return from an initial inv. with variable cashflows and specific dates.</t>
  </si>
  <si>
    <t>XIRR( values, dates, [guess] )</t>
  </si>
  <si>
    <t>XNPV</t>
  </si>
  <si>
    <t>Calculates the net present value for a schedule of cash flows occurring at a series of supplied dates.</t>
  </si>
  <si>
    <t>XNPV( rate, values, dates )</t>
  </si>
  <si>
    <t>Calculate the Net Present Value from an initial inv. with variable cashflows and specific dates.</t>
  </si>
  <si>
    <t>SECURITY FUNCTIONS</t>
  </si>
  <si>
    <t>ACCRINT</t>
  </si>
  <si>
    <t>Calculates the accrued interest for a security that pays periodic interest.</t>
  </si>
  <si>
    <t>ACCRINT( issue, first_interest, settlement, rate, [par], frequency, [basis], [calc_method] )</t>
  </si>
  <si>
    <t>[basis]</t>
  </si>
  <si>
    <t>Day Count Basis</t>
  </si>
  <si>
    <t>0 (or omitted)</t>
  </si>
  <si>
    <t>US (NASD) 30/360</t>
  </si>
  <si>
    <t>actual/actual</t>
  </si>
  <si>
    <t>actual/360</t>
  </si>
  <si>
    <t>actual/365</t>
  </si>
  <si>
    <t>European 30/360</t>
  </si>
  <si>
    <t>Issue Date:</t>
  </si>
  <si>
    <t>1st. Interest Date:</t>
  </si>
  <si>
    <t>Settlement Date:</t>
  </si>
  <si>
    <t>Par Value:</t>
  </si>
  <si>
    <t>Annual Coupon:</t>
  </si>
  <si>
    <t>Quarterly Payments:</t>
  </si>
  <si>
    <t>Accrued Int:</t>
  </si>
  <si>
    <t>ACCRINTM</t>
  </si>
  <si>
    <t>Calculates the accrued interest for a security that pays interest at maturity.</t>
  </si>
  <si>
    <t>ACCRINTM( issue, settlement, rate, [par], [basis] )</t>
  </si>
  <si>
    <t>DISC</t>
  </si>
  <si>
    <t>Calculates the discount rate for a security.</t>
  </si>
  <si>
    <t>DISC( settlement, maturity, pr, redemption, [basis] )</t>
  </si>
  <si>
    <t>Maturity Date:</t>
  </si>
  <si>
    <t>Price per $100</t>
  </si>
  <si>
    <t>Mat. / Redemption:</t>
  </si>
  <si>
    <t>Discount Rate:</t>
  </si>
  <si>
    <t>Annually</t>
  </si>
  <si>
    <t>Semi-Annually</t>
  </si>
  <si>
    <t>Quarterly</t>
  </si>
  <si>
    <t>Frequency</t>
  </si>
  <si>
    <t>DURATION</t>
  </si>
  <si>
    <t>Calculates the Macauley duration of a security with an assumed par value of $100</t>
  </si>
  <si>
    <t>DURATION( settlement, maturity, coupon, yld, frequency, [basis] )</t>
  </si>
  <si>
    <t>Coupon Rate:</t>
  </si>
  <si>
    <t>Yield:</t>
  </si>
  <si>
    <t>Payments Quarterly:</t>
  </si>
  <si>
    <t>Duration Years:</t>
  </si>
  <si>
    <t>INTRATE</t>
  </si>
  <si>
    <t>Calculates the interest rate for a fully invested security</t>
  </si>
  <si>
    <t>INTRATE( settlement, maturity, investment, redemption, [basis] )</t>
  </si>
  <si>
    <t>Investment Value:</t>
  </si>
  <si>
    <t>Redemption Value:</t>
  </si>
  <si>
    <t>IntRate:</t>
  </si>
  <si>
    <t>MDURATION</t>
  </si>
  <si>
    <t>Calculates the Macauley modified duration for a security with an assumed par value of $100</t>
  </si>
  <si>
    <t>MDURATION( settlement, maturity, coupon, yld, frequency, [basis] )</t>
  </si>
  <si>
    <t>Calculates the price per $100 face value of a security with an odd first period</t>
  </si>
  <si>
    <t>ODDFPRICE( settlement, maturity, issue, first_coupon, rate, yld, redemption, frequency, [basis] )</t>
  </si>
  <si>
    <t>1st. Coupon Date:</t>
  </si>
  <si>
    <t>Annual Yield:</t>
  </si>
  <si>
    <t>ODDFYIELD</t>
  </si>
  <si>
    <t>ODDFPRICE</t>
  </si>
  <si>
    <t>Calculates the yield of a security with an odd first period</t>
  </si>
  <si>
    <t>ODDFYIELD( settlement, maturity, issue, first_coupon, rate, pr, redemption, frequency, [basis] )</t>
  </si>
  <si>
    <t>Price:</t>
  </si>
  <si>
    <t>ODDLYEILD</t>
  </si>
  <si>
    <t>Odd F Price:</t>
  </si>
  <si>
    <t>Odd F Yield:</t>
  </si>
  <si>
    <t>Calculates the yield of a security with an odd last period</t>
  </si>
  <si>
    <t>Odd L Yield:</t>
  </si>
  <si>
    <t>Last Int. Date:</t>
  </si>
  <si>
    <t>Int. Rate:</t>
  </si>
  <si>
    <t>PRICE</t>
  </si>
  <si>
    <t>Calculates the price per $100 face value of a security that pays periodic interest</t>
  </si>
  <si>
    <t>PRICE( settlement, maturity, rate, yld, redemption, frequency, [basis] )</t>
  </si>
  <si>
    <t>Rate:</t>
  </si>
  <si>
    <t>Redemption</t>
  </si>
  <si>
    <t>Semi Payments:</t>
  </si>
  <si>
    <t>PRICEDISC</t>
  </si>
  <si>
    <t>Calculates the price per $100 face value of a discounted security</t>
  </si>
  <si>
    <t>PRICEDISC( settlement, maturity, discount, redemption, [basis] )</t>
  </si>
  <si>
    <t>Disc Rate:</t>
  </si>
  <si>
    <t>Price Disc:</t>
  </si>
  <si>
    <t>PRICEMAT</t>
  </si>
  <si>
    <t>Calculates the price per $100 face value of a security that pays interest at maturity</t>
  </si>
  <si>
    <t>PRICEMAT( settlement, maturity, issue, rate, yld, [basis] )</t>
  </si>
  <si>
    <t>Price Mat:</t>
  </si>
  <si>
    <t>RECEIVED</t>
  </si>
  <si>
    <t>Calculates the amount received at maturity for a fully invested Security</t>
  </si>
  <si>
    <t>RECEIVED( settlement, maturity, investment, discount, [basis] )</t>
  </si>
  <si>
    <t>Investment Amt:</t>
  </si>
  <si>
    <t>Disc. Rate:</t>
  </si>
  <si>
    <t>Received:</t>
  </si>
  <si>
    <t>YIELD</t>
  </si>
  <si>
    <t>Calculates the yield of a security that pays periodic interest</t>
  </si>
  <si>
    <t>YIELD( settlement, maturity, rate, pr, redemption, frequency, [basis] )</t>
  </si>
  <si>
    <t>Face Value:</t>
  </si>
  <si>
    <t>Int. Payments:</t>
  </si>
  <si>
    <t>YIELDDISC</t>
  </si>
  <si>
    <t>Calculates the annual yield of a discounted security</t>
  </si>
  <si>
    <t>YIELDDISC( settlement, maturity, pr, redemption, [basis] )</t>
  </si>
  <si>
    <t>YIELDMAT</t>
  </si>
  <si>
    <t>Calculates the annual yield of a security that pays interest at maturity</t>
  </si>
  <si>
    <t>YIELDMAT( settlement, maturity, issue, rate, pr, [basis] )</t>
  </si>
  <si>
    <t>Yield Disc:</t>
  </si>
  <si>
    <t>Yield Mat:</t>
  </si>
  <si>
    <t>INTEREST RATE CONVERSION</t>
  </si>
  <si>
    <t>EFFECT</t>
  </si>
  <si>
    <t>Calculates the effective annual interest rate from a supplied Nominal interest rate and number of periods</t>
  </si>
  <si>
    <t>EFFECT( nominal_rate, npery )</t>
  </si>
  <si>
    <t>Periods</t>
  </si>
  <si>
    <t>Effective Rate:</t>
  </si>
  <si>
    <t>NOMINAL</t>
  </si>
  <si>
    <t>Calculates the annual nominal interest rate from a supplied Effective interest rate and number of periods</t>
  </si>
  <si>
    <t>Nominal Rate:</t>
  </si>
  <si>
    <t>Effective Rate</t>
  </si>
  <si>
    <t>Nominal Rate</t>
  </si>
  <si>
    <t>NOMINAL( effect_rate, npery )</t>
  </si>
  <si>
    <t>TREASURY BILLS</t>
  </si>
  <si>
    <t>TBILLEQ</t>
  </si>
  <si>
    <t>Calculates the bond-equivalent yield for a treasury bill</t>
  </si>
  <si>
    <t>TBILLEQ( settlement, maturity, discount )</t>
  </si>
  <si>
    <t>T-Bill Eq:</t>
  </si>
  <si>
    <t>TBILLPRICE</t>
  </si>
  <si>
    <t>Calculates the price per $100 face value for a treasury bill</t>
  </si>
  <si>
    <t>TBILLPRICE( settlement, maturity, discount )</t>
  </si>
  <si>
    <t>T-Bill Price:</t>
  </si>
  <si>
    <t>TBILLYIELD</t>
  </si>
  <si>
    <t>Calculates the yield for a treasury bill</t>
  </si>
  <si>
    <t>TBILLYIELD( settlement, maturity, pr )</t>
  </si>
  <si>
    <t>Initial Deposit</t>
  </si>
  <si>
    <t>Compound</t>
  </si>
  <si>
    <t>Mat. Value</t>
  </si>
  <si>
    <t>Int. Earned</t>
  </si>
  <si>
    <t>APY</t>
  </si>
  <si>
    <t>Daily</t>
  </si>
  <si>
    <t>CERTIFICATE OF DEPOSIT</t>
  </si>
  <si>
    <t>KEYBOARD SHORTCUTS</t>
  </si>
  <si>
    <t>KEY</t>
  </si>
  <si>
    <t>ALONE</t>
  </si>
  <si>
    <t>SHIFT</t>
  </si>
  <si>
    <t>CNTRL</t>
  </si>
  <si>
    <t>ALT</t>
  </si>
  <si>
    <t>SHIFT CNTRL</t>
  </si>
  <si>
    <t xml:space="preserve">F1 </t>
  </si>
  <si>
    <t xml:space="preserve">Help </t>
  </si>
  <si>
    <t xml:space="preserve">What's This Help </t>
  </si>
  <si>
    <t xml:space="preserve">  </t>
  </si>
  <si>
    <t xml:space="preserve">Insert Chart Sheet </t>
  </si>
  <si>
    <t xml:space="preserve"> </t>
  </si>
  <si>
    <t xml:space="preserve">F2 </t>
  </si>
  <si>
    <t xml:space="preserve">Edit Mode </t>
  </si>
  <si>
    <t xml:space="preserve">Edit Comment </t>
  </si>
  <si>
    <t xml:space="preserve">Save As </t>
  </si>
  <si>
    <t xml:space="preserve">F3 </t>
  </si>
  <si>
    <t xml:space="preserve">Paste Name Formula </t>
  </si>
  <si>
    <t xml:space="preserve">Paste Function </t>
  </si>
  <si>
    <t xml:space="preserve">Define Name </t>
  </si>
  <si>
    <t>Names From Labels</t>
  </si>
  <si>
    <t xml:space="preserve">F4 </t>
  </si>
  <si>
    <t xml:space="preserve">Repeat Action </t>
  </si>
  <si>
    <t xml:space="preserve">Find Again </t>
  </si>
  <si>
    <t xml:space="preserve">Close Window </t>
  </si>
  <si>
    <t xml:space="preserve">Quit Excel </t>
  </si>
  <si>
    <t>Find Previous</t>
  </si>
  <si>
    <t xml:space="preserve">F5 </t>
  </si>
  <si>
    <t xml:space="preserve">Goto </t>
  </si>
  <si>
    <t xml:space="preserve">Find </t>
  </si>
  <si>
    <t xml:space="preserve">Restore Window Size </t>
  </si>
  <si>
    <t xml:space="preserve">F6 </t>
  </si>
  <si>
    <t xml:space="preserve">Next Pane </t>
  </si>
  <si>
    <t xml:space="preserve">Prev Pane </t>
  </si>
  <si>
    <t xml:space="preserve">Next Window </t>
  </si>
  <si>
    <t xml:space="preserve">Previous Window </t>
  </si>
  <si>
    <t>Prev Workbook</t>
  </si>
  <si>
    <t xml:space="preserve">F7 </t>
  </si>
  <si>
    <t xml:space="preserve">Spell Check </t>
  </si>
  <si>
    <t xml:space="preserve">Move Window </t>
  </si>
  <si>
    <t xml:space="preserve">F8 </t>
  </si>
  <si>
    <t xml:space="preserve">Extend Selection </t>
  </si>
  <si>
    <t xml:space="preserve">Add To Selection </t>
  </si>
  <si>
    <t xml:space="preserve">Resize Window </t>
  </si>
  <si>
    <t xml:space="preserve">Macro List </t>
  </si>
  <si>
    <t xml:space="preserve">F9 </t>
  </si>
  <si>
    <t xml:space="preserve">Calculate All </t>
  </si>
  <si>
    <t xml:space="preserve">Calculate Worksheet </t>
  </si>
  <si>
    <t xml:space="preserve">Minimize Workbook </t>
  </si>
  <si>
    <t xml:space="preserve">F10 </t>
  </si>
  <si>
    <t xml:space="preserve">Activate Menu </t>
  </si>
  <si>
    <t xml:space="preserve">Context Menu </t>
  </si>
  <si>
    <t xml:space="preserve">Maximize Window </t>
  </si>
  <si>
    <t xml:space="preserve">F11 </t>
  </si>
  <si>
    <t xml:space="preserve">New Chart </t>
  </si>
  <si>
    <t xml:space="preserve">New Worksheet </t>
  </si>
  <si>
    <t xml:space="preserve">New Macro Sheet </t>
  </si>
  <si>
    <t xml:space="preserve">VB Editor </t>
  </si>
  <si>
    <t xml:space="preserve">F12 </t>
  </si>
  <si>
    <t xml:space="preserve">Save </t>
  </si>
  <si>
    <t xml:space="preserve">Open </t>
  </si>
  <si>
    <t>Print</t>
  </si>
  <si>
    <t xml:space="preserve">A </t>
  </si>
  <si>
    <t xml:space="preserve">Select All  </t>
  </si>
  <si>
    <t>Formula Arguments</t>
  </si>
  <si>
    <t xml:space="preserve">B </t>
  </si>
  <si>
    <t xml:space="preserve">Bold </t>
  </si>
  <si>
    <t xml:space="preserve">C </t>
  </si>
  <si>
    <t xml:space="preserve">Copy </t>
  </si>
  <si>
    <t xml:space="preserve">D </t>
  </si>
  <si>
    <t xml:space="preserve">Fill Down </t>
  </si>
  <si>
    <t xml:space="preserve">Data Menu </t>
  </si>
  <si>
    <t xml:space="preserve">E </t>
  </si>
  <si>
    <t xml:space="preserve">Edit Menu </t>
  </si>
  <si>
    <t xml:space="preserve">F </t>
  </si>
  <si>
    <t xml:space="preserve">File Menu </t>
  </si>
  <si>
    <t>Font Name</t>
  </si>
  <si>
    <t xml:space="preserve">G </t>
  </si>
  <si>
    <t xml:space="preserve">H </t>
  </si>
  <si>
    <t xml:space="preserve">Replace </t>
  </si>
  <si>
    <t xml:space="preserve">Help Menu </t>
  </si>
  <si>
    <t xml:space="preserve">I </t>
  </si>
  <si>
    <t xml:space="preserve">Italics </t>
  </si>
  <si>
    <t xml:space="preserve">Insert Menu </t>
  </si>
  <si>
    <t xml:space="preserve">J </t>
  </si>
  <si>
    <t xml:space="preserve">K </t>
  </si>
  <si>
    <t xml:space="preserve">Insert  Hyperlink </t>
  </si>
  <si>
    <t xml:space="preserve">L </t>
  </si>
  <si>
    <t xml:space="preserve">M </t>
  </si>
  <si>
    <t xml:space="preserve">N </t>
  </si>
  <si>
    <t xml:space="preserve">New Workbook </t>
  </si>
  <si>
    <t xml:space="preserve">O </t>
  </si>
  <si>
    <t xml:space="preserve">Open Workbook </t>
  </si>
  <si>
    <t xml:space="preserve">Format Menu </t>
  </si>
  <si>
    <t>Select Comments</t>
  </si>
  <si>
    <t xml:space="preserve">P </t>
  </si>
  <si>
    <t xml:space="preserve">Print </t>
  </si>
  <si>
    <t>Font Size</t>
  </si>
  <si>
    <t xml:space="preserve">Q </t>
  </si>
  <si>
    <t xml:space="preserve">R </t>
  </si>
  <si>
    <t xml:space="preserve">Fill Right </t>
  </si>
  <si>
    <t xml:space="preserve">S </t>
  </si>
  <si>
    <t xml:space="preserve">T </t>
  </si>
  <si>
    <t xml:space="preserve">Tools Menu </t>
  </si>
  <si>
    <t xml:space="preserve">U </t>
  </si>
  <si>
    <t xml:space="preserve">Underline </t>
  </si>
  <si>
    <t xml:space="preserve">V </t>
  </si>
  <si>
    <t xml:space="preserve">Paste </t>
  </si>
  <si>
    <t xml:space="preserve">W </t>
  </si>
  <si>
    <t xml:space="preserve">Close Workbook </t>
  </si>
  <si>
    <t xml:space="preserve">Window Menu </t>
  </si>
  <si>
    <t xml:space="preserve">X </t>
  </si>
  <si>
    <t xml:space="preserve">Cut </t>
  </si>
  <si>
    <t xml:space="preserve">Y </t>
  </si>
  <si>
    <t xml:space="preserve">Repeat Active </t>
  </si>
  <si>
    <t xml:space="preserve">Z </t>
  </si>
  <si>
    <t xml:space="preserve">Undo </t>
  </si>
  <si>
    <t xml:space="preserve">` (~) </t>
  </si>
  <si>
    <t xml:space="preserve">Toggle Formula View </t>
  </si>
  <si>
    <t>General Format</t>
  </si>
  <si>
    <t xml:space="preserve">1 (!) </t>
  </si>
  <si>
    <t xml:space="preserve">Cell Format </t>
  </si>
  <si>
    <t>Number Format</t>
  </si>
  <si>
    <t xml:space="preserve">2 (@) </t>
  </si>
  <si>
    <t xml:space="preserve">Toggle Bold </t>
  </si>
  <si>
    <t>Time Format</t>
  </si>
  <si>
    <t xml:space="preserve">3 (#) </t>
  </si>
  <si>
    <t xml:space="preserve">Toggle Italics </t>
  </si>
  <si>
    <t>Date Format</t>
  </si>
  <si>
    <t xml:space="preserve">4 ($) </t>
  </si>
  <si>
    <t xml:space="preserve">Toggle Underline </t>
  </si>
  <si>
    <t>Currency Format</t>
  </si>
  <si>
    <t xml:space="preserve">5 (%) </t>
  </si>
  <si>
    <t xml:space="preserve">Toggle Strikethru </t>
  </si>
  <si>
    <t>Percent Format</t>
  </si>
  <si>
    <t xml:space="preserve">6 (^) </t>
  </si>
  <si>
    <t xml:space="preserve">Toggle Object Display </t>
  </si>
  <si>
    <t>Exponent Format</t>
  </si>
  <si>
    <t xml:space="preserve">7 (&amp;) </t>
  </si>
  <si>
    <t xml:space="preserve">Show/Hide Standard Toolbar </t>
  </si>
  <si>
    <t>Apply Border</t>
  </si>
  <si>
    <t xml:space="preserve">8 (*) </t>
  </si>
  <si>
    <t xml:space="preserve">Outline </t>
  </si>
  <si>
    <t>Select Region</t>
  </si>
  <si>
    <t xml:space="preserve">9 (() </t>
  </si>
  <si>
    <t xml:space="preserve">Hide Rows </t>
  </si>
  <si>
    <t>Unhide Rows</t>
  </si>
  <si>
    <t xml:space="preserve">0 ()) </t>
  </si>
  <si>
    <t xml:space="preserve">Hide Columns </t>
  </si>
  <si>
    <t>Unhide Columns</t>
  </si>
  <si>
    <t xml:space="preserve">- </t>
  </si>
  <si>
    <t xml:space="preserve">Delete Selection </t>
  </si>
  <si>
    <t xml:space="preserve">Control Menu </t>
  </si>
  <si>
    <t>No Border</t>
  </si>
  <si>
    <t xml:space="preserve">= (+) </t>
  </si>
  <si>
    <t xml:space="preserve">Formula </t>
  </si>
  <si>
    <t xml:space="preserve">Auto Sum </t>
  </si>
  <si>
    <t>Insert Cells</t>
  </si>
  <si>
    <t xml:space="preserve">[ </t>
  </si>
  <si>
    <t xml:space="preserve">Direct Precendents </t>
  </si>
  <si>
    <t>All Precendents</t>
  </si>
  <si>
    <t xml:space="preserve">] </t>
  </si>
  <si>
    <t xml:space="preserve">Direct Dependents </t>
  </si>
  <si>
    <t>All Dependents</t>
  </si>
  <si>
    <t xml:space="preserve">; (semicolon) </t>
  </si>
  <si>
    <t xml:space="preserve">Insert Date </t>
  </si>
  <si>
    <t xml:space="preserve">Select Visible Cells </t>
  </si>
  <si>
    <t>Insert Time</t>
  </si>
  <si>
    <t xml:space="preserve">' (apostrophe) </t>
  </si>
  <si>
    <t xml:space="preserve">Copy Formula From Above </t>
  </si>
  <si>
    <t xml:space="preserve">Style </t>
  </si>
  <si>
    <t>Copy Value Above</t>
  </si>
  <si>
    <t xml:space="preserve">: (colon) </t>
  </si>
  <si>
    <t xml:space="preserve">Insert Time </t>
  </si>
  <si>
    <t xml:space="preserve">/ </t>
  </si>
  <si>
    <t xml:space="preserve">Select Array </t>
  </si>
  <si>
    <t>Select Array</t>
  </si>
  <si>
    <t xml:space="preserve">\ </t>
  </si>
  <si>
    <t xml:space="preserve">Select Differences </t>
  </si>
  <si>
    <t>Select Unequal Cells</t>
  </si>
  <si>
    <t xml:space="preserve">Insert </t>
  </si>
  <si>
    <t xml:space="preserve">Insert Mode </t>
  </si>
  <si>
    <t xml:space="preserve">Delete </t>
  </si>
  <si>
    <t xml:space="preserve">Clear </t>
  </si>
  <si>
    <t xml:space="preserve">Delete To End Of Line </t>
  </si>
  <si>
    <t xml:space="preserve">Home </t>
  </si>
  <si>
    <t xml:space="preserve">Begin Row </t>
  </si>
  <si>
    <t xml:space="preserve">Start Of Worksheet </t>
  </si>
  <si>
    <t xml:space="preserve">End </t>
  </si>
  <si>
    <t xml:space="preserve">End Row </t>
  </si>
  <si>
    <t xml:space="preserve">End Of Worksheet </t>
  </si>
  <si>
    <t xml:space="preserve">Page Up </t>
  </si>
  <si>
    <t xml:space="preserve">Previous Worksheet </t>
  </si>
  <si>
    <t xml:space="preserve">Left 1 screen </t>
  </si>
  <si>
    <t xml:space="preserve">Page Down </t>
  </si>
  <si>
    <t xml:space="preserve">Next Worksheet </t>
  </si>
  <si>
    <t xml:space="preserve">Right 1 screen </t>
  </si>
  <si>
    <t xml:space="preserve">Left Arrow </t>
  </si>
  <si>
    <t xml:space="preserve">Move Left </t>
  </si>
  <si>
    <t xml:space="preserve">Select Left </t>
  </si>
  <si>
    <t xml:space="preserve">Move Left Area </t>
  </si>
  <si>
    <t xml:space="preserve">Right Arrow </t>
  </si>
  <si>
    <t xml:space="preserve">Move Right </t>
  </si>
  <si>
    <t xml:space="preserve">Select Right </t>
  </si>
  <si>
    <t xml:space="preserve">Move Right Area </t>
  </si>
  <si>
    <t xml:space="preserve">Up Arrow </t>
  </si>
  <si>
    <t xml:space="preserve">Move Up </t>
  </si>
  <si>
    <t xml:space="preserve">Select Up </t>
  </si>
  <si>
    <t xml:space="preserve">Move Up Area </t>
  </si>
  <si>
    <t xml:space="preserve">Down Arrow </t>
  </si>
  <si>
    <t xml:space="preserve">Move Down </t>
  </si>
  <si>
    <t xml:space="preserve">Select Down </t>
  </si>
  <si>
    <t xml:space="preserve">Move Down Area </t>
  </si>
  <si>
    <t xml:space="preserve">Drop down list </t>
  </si>
  <si>
    <t xml:space="preserve">Space Bar </t>
  </si>
  <si>
    <t xml:space="preserve">Space </t>
  </si>
  <si>
    <t xml:space="preserve">Select Row </t>
  </si>
  <si>
    <t xml:space="preserve">Select Column </t>
  </si>
  <si>
    <t xml:space="preserve">Control Box </t>
  </si>
  <si>
    <t>Select All</t>
  </si>
  <si>
    <t xml:space="preserve">Tab </t>
  </si>
  <si>
    <t xml:space="preserve">Next Application </t>
  </si>
  <si>
    <t>Previous Window</t>
  </si>
  <si>
    <t xml:space="preserve">Enter </t>
  </si>
  <si>
    <t xml:space="preserve">Fill Selection With Active Cell </t>
  </si>
  <si>
    <t xml:space="preserve">Insert Row </t>
  </si>
  <si>
    <t xml:space="preserve">BackSpace </t>
  </si>
  <si>
    <t>Collapse Selection To</t>
  </si>
  <si>
    <t xml:space="preserve">Active Cell </t>
  </si>
  <si>
    <t xml:space="preserve">Goto Active Cell </t>
  </si>
  <si>
    <t>Sections - Using the TABs at the bottom of the sheet:</t>
  </si>
  <si>
    <t xml:space="preserve"> - Keyboard Shortcuts</t>
  </si>
  <si>
    <t>EXCEL WORKSHEETS</t>
  </si>
  <si>
    <t>CAMPUS</t>
  </si>
  <si>
    <t>SUBJECTS</t>
  </si>
  <si>
    <t>GRADE</t>
  </si>
  <si>
    <t>NUMBER</t>
  </si>
  <si>
    <t>Total by SUBJECT</t>
  </si>
  <si>
    <t>Total by CAMPUS</t>
  </si>
  <si>
    <t>Arbor Creek</t>
  </si>
  <si>
    <t>Science</t>
  </si>
  <si>
    <t>Math</t>
  </si>
  <si>
    <t>English</t>
  </si>
  <si>
    <t>Colony</t>
  </si>
  <si>
    <t>DeLay</t>
  </si>
  <si>
    <t>History</t>
  </si>
  <si>
    <t>Flower Mound</t>
  </si>
  <si>
    <t>TOTALS</t>
  </si>
  <si>
    <t>Hebron</t>
  </si>
  <si>
    <t>Indian Creek</t>
  </si>
  <si>
    <t>Lewisville</t>
  </si>
  <si>
    <t>Marcus</t>
  </si>
  <si>
    <t>Total by GRADE</t>
  </si>
  <si>
    <t>Record Count</t>
  </si>
  <si>
    <t>Subtotal</t>
  </si>
  <si>
    <t>Month</t>
  </si>
  <si>
    <t>Vendor</t>
  </si>
  <si>
    <t>ID</t>
  </si>
  <si>
    <t>State</t>
  </si>
  <si>
    <t>Sales Type</t>
  </si>
  <si>
    <t>Amount</t>
  </si>
  <si>
    <t>January</t>
  </si>
  <si>
    <t>Company A</t>
  </si>
  <si>
    <t>255-133</t>
  </si>
  <si>
    <t>Texas</t>
  </si>
  <si>
    <t>Software</t>
  </si>
  <si>
    <t>Hardware</t>
  </si>
  <si>
    <t xml:space="preserve">1 AVERAGE </t>
  </si>
  <si>
    <t>Company B</t>
  </si>
  <si>
    <t>255-253</t>
  </si>
  <si>
    <t>Florida</t>
  </si>
  <si>
    <t xml:space="preserve">2 COUNT </t>
  </si>
  <si>
    <t>355-253</t>
  </si>
  <si>
    <t xml:space="preserve">3 COUNTA </t>
  </si>
  <si>
    <t>Arkansas</t>
  </si>
  <si>
    <t xml:space="preserve">4 MAX </t>
  </si>
  <si>
    <t xml:space="preserve">5 MIN </t>
  </si>
  <si>
    <t>Company C</t>
  </si>
  <si>
    <t>275-264</t>
  </si>
  <si>
    <t xml:space="preserve">6 PRODUCT </t>
  </si>
  <si>
    <t xml:space="preserve">7 STDEV </t>
  </si>
  <si>
    <t>Company D</t>
  </si>
  <si>
    <t>525-356</t>
  </si>
  <si>
    <t>Utah</t>
  </si>
  <si>
    <t>Construction</t>
  </si>
  <si>
    <t xml:space="preserve">8 STDEVP </t>
  </si>
  <si>
    <t xml:space="preserve">9 SUM </t>
  </si>
  <si>
    <t>Company E</t>
  </si>
  <si>
    <t>311-904</t>
  </si>
  <si>
    <t>California</t>
  </si>
  <si>
    <t>Food Svc</t>
  </si>
  <si>
    <t xml:space="preserve">10 VAR </t>
  </si>
  <si>
    <t>February</t>
  </si>
  <si>
    <t xml:space="preserve">11 VARP </t>
  </si>
  <si>
    <t>Georgia</t>
  </si>
  <si>
    <t>Louisiana</t>
  </si>
  <si>
    <t>March</t>
  </si>
  <si>
    <t>Nevada</t>
  </si>
  <si>
    <t>May</t>
  </si>
  <si>
    <t>April</t>
  </si>
  <si>
    <t>Arizona</t>
  </si>
  <si>
    <t>August</t>
  </si>
  <si>
    <t>September</t>
  </si>
  <si>
    <t>October</t>
  </si>
  <si>
    <t>December</t>
  </si>
  <si>
    <t>Subtotal Functions</t>
  </si>
  <si>
    <t>January Total</t>
  </si>
  <si>
    <t>February Total</t>
  </si>
  <si>
    <t>March Total</t>
  </si>
  <si>
    <t>May Total</t>
  </si>
  <si>
    <t>April Total</t>
  </si>
  <si>
    <t>August Total</t>
  </si>
  <si>
    <t>September Total</t>
  </si>
  <si>
    <t>October Total</t>
  </si>
  <si>
    <t>December Total</t>
  </si>
  <si>
    <t>Grand Total</t>
  </si>
  <si>
    <t>FILTERING &amp; SUBTOTAL</t>
  </si>
  <si>
    <t>DOLLAR CONVERSION</t>
  </si>
  <si>
    <t>DOLLARDE</t>
  </si>
  <si>
    <t>Dollar Price</t>
  </si>
  <si>
    <t>Equals</t>
  </si>
  <si>
    <t xml:space="preserve"> = 1 + 1/16</t>
  </si>
  <si>
    <t>= 1 + 10/16</t>
  </si>
  <si>
    <t>= 1 + 3/32</t>
  </si>
  <si>
    <t>= 1 + 30/32</t>
  </si>
  <si>
    <t>= 1 + 12/32</t>
  </si>
  <si>
    <t>Dollar Decimal</t>
  </si>
  <si>
    <t>DOLLARFE</t>
  </si>
  <si>
    <t>DOLLARDE( fractional_dollar, fraction )</t>
  </si>
  <si>
    <t>DOLLARFR( decimal_dollar, fraction )</t>
  </si>
  <si>
    <t>Dollar Fraction</t>
  </si>
  <si>
    <t>DROP Down List</t>
  </si>
  <si>
    <t>WEIGHTED AVERAGE MATURITY</t>
  </si>
  <si>
    <t xml:space="preserve">Using the Current Date and Maturity Date: Weighted Average Maturity (WAM) = </t>
  </si>
  <si>
    <t>The overall sum of each security’s par amount multiplied by its number of days to maturity, divided by the total of all investments.</t>
  </si>
  <si>
    <t>Mat. in Days (DTM)</t>
  </si>
  <si>
    <t>Discount Note</t>
  </si>
  <si>
    <t>US Treasury Note</t>
  </si>
  <si>
    <t>Total</t>
  </si>
  <si>
    <t>WAM Calculations that are based on Floating Rate and Variable Rate securities use the reset date in the calculations.</t>
  </si>
  <si>
    <t>Inv. Amount</t>
  </si>
  <si>
    <t>WAM in Days</t>
  </si>
  <si>
    <t>Inv. Description</t>
  </si>
  <si>
    <t xml:space="preserve"> - Security Functions</t>
  </si>
  <si>
    <t xml:space="preserve"> - Interest Rate Conversion Functions</t>
  </si>
  <si>
    <t xml:space="preserve"> - Single Cash Flow Functions</t>
  </si>
  <si>
    <t xml:space="preserve"> - Periodic Cash Flow Functions</t>
  </si>
  <si>
    <t xml:space="preserve"> - Periodic Variable Cash Flow Functions</t>
  </si>
  <si>
    <t xml:space="preserve"> - Non-Periodic Cash Flow Functions</t>
  </si>
  <si>
    <t xml:space="preserve"> - Dollar / Decimal Conversion Functions</t>
  </si>
  <si>
    <t xml:space="preserve"> - Treasury Bills</t>
  </si>
  <si>
    <t xml:space="preserve"> - Certificates of Deposit</t>
  </si>
  <si>
    <t xml:space="preserve"> - Weighted Average Maturity (WAM)</t>
  </si>
  <si>
    <t xml:space="preserve"> - SUMIF  and Validation Functions</t>
  </si>
  <si>
    <t xml:space="preserve"> - Filtering and Subtotal Functions</t>
  </si>
  <si>
    <t>Date</t>
  </si>
  <si>
    <t>DOW</t>
  </si>
  <si>
    <t>Allocation Factor</t>
  </si>
  <si>
    <t>7-Day Rate</t>
  </si>
  <si>
    <t>BOD Balance</t>
  </si>
  <si>
    <t>Deposits</t>
  </si>
  <si>
    <t>Withdrawals</t>
  </si>
  <si>
    <t>EOD Balance</t>
  </si>
  <si>
    <t>Daily Interest</t>
  </si>
  <si>
    <t>Acc. Interest</t>
  </si>
  <si>
    <t>Summary</t>
  </si>
  <si>
    <t>POOL RECONCILIATION</t>
  </si>
  <si>
    <t>Returns the number of periods for an investment with periodic constant payments and a constant interest rate.</t>
  </si>
  <si>
    <t>Calculates the modified internal rate of return for a series of periodic cash flows, considering the cost of the investment and the interest on the reinvestment of cash.</t>
  </si>
  <si>
    <t>Converts a dollar price expressed as a fraction, into a dollar price expressed as a decimal.</t>
  </si>
  <si>
    <t>Converts a dollar price expressed as a decimal, into a dollar price expressed as a fraction.</t>
  </si>
  <si>
    <t>MULTIPLE CRITERIA</t>
  </si>
  <si>
    <t>Region</t>
  </si>
  <si>
    <t>Desires Result</t>
  </si>
  <si>
    <t>Answer</t>
  </si>
  <si>
    <t>Equation</t>
  </si>
  <si>
    <t>Array</t>
  </si>
  <si>
    <t>Jan</t>
  </si>
  <si>
    <t>North</t>
  </si>
  <si>
    <t>Sum of Amt. where Month = "Jan"</t>
  </si>
  <si>
    <t>=SUMIF(A4:A12,"Jan",C4:C12)</t>
  </si>
  <si>
    <t>South</t>
  </si>
  <si>
    <t>Count of Amt. where Month="Feb"</t>
  </si>
  <si>
    <t>=COUNTIF(A4:A12,"Feb")</t>
  </si>
  <si>
    <t>West</t>
  </si>
  <si>
    <t>Sum of Amt. where Month&lt;&gt;"Jan"</t>
  </si>
  <si>
    <t>=SUMIF(A4:A12,"&lt;&gt;Jan",C4:C12)</t>
  </si>
  <si>
    <t>Feb</t>
  </si>
  <si>
    <t>Sum of Sales where Month="Jan" or "Feb"</t>
  </si>
  <si>
    <t>=SUMIF(A4:A12,"Jan",C4:C12)+SUMIF(A4:A12,"Feb",C4:C12)</t>
  </si>
  <si>
    <t>Sum of Sales where Month="Jan" AND Region="North"</t>
  </si>
  <si>
    <t>=SUM((A4:A12="Jan")*(B4:B12="North")*C4:C12)</t>
  </si>
  <si>
    <t>*</t>
  </si>
  <si>
    <t>Sum of Sales where Month="Jan" AND Region&lt;&gt;"North"</t>
  </si>
  <si>
    <t xml:space="preserve"> =SUM((A4:A12="Jan")*(B4:B12&lt;&gt;"North")*C4:C12)</t>
  </si>
  <si>
    <t>Mar</t>
  </si>
  <si>
    <t>Count of Sales where Month="Jan" AND Region="North"</t>
  </si>
  <si>
    <t>=SUM((A4:A12="Jan")*(B4:B12="North"))</t>
  </si>
  <si>
    <t xml:space="preserve">South </t>
  </si>
  <si>
    <t>Sum of Sales where Month="Jan" AND Sales&gt;= 200</t>
  </si>
  <si>
    <t>=SUM((A4:A12="Jan")*(C4:C12&gt;=200)*(C4:C12))</t>
  </si>
  <si>
    <t>Sum of Sales between 300 AND 400</t>
  </si>
  <si>
    <t>=SUM((C4:C12&gt;=300)*(C4:C12&lt;=400)*(C4:C12))</t>
  </si>
  <si>
    <t>Count of Sales between 300 AND 400</t>
  </si>
  <si>
    <t>=SUM((C4:C12&gt;=300)*(C4:C12&lt;=400))</t>
  </si>
  <si>
    <t>*   Array requires the use of CTRL+SHIFT+ENTER</t>
  </si>
  <si>
    <t xml:space="preserve"> - Multiple Criteria</t>
  </si>
  <si>
    <t xml:space="preserve"> - Display equations and examples of Excel functions and how they relate to investment calculations.</t>
  </si>
  <si>
    <t xml:space="preserve"> - Provide visual examples of Excel functions in the calculations and display of data.</t>
  </si>
  <si>
    <t xml:space="preserve"> - Discuss function parameters and investment calculations used with in Excel.</t>
  </si>
  <si>
    <t xml:space="preserve"> - Identify reporting efficiencies and functions that will assist in the development of investment worksheets.</t>
  </si>
  <si>
    <t>Objectives of this Excel Presentation:</t>
  </si>
  <si>
    <t xml:space="preserve"> ----- ACCRINIT, ACCRINITM, DISC, DURATION, INRATE, MDURATION, ODDPRICE, ODDFYIELD, ODDLYIELD, PRICE, PRICEDISC, PRICEMAT, RECEIVED, YIELD, YIELDDISC, YIELDMAT</t>
  </si>
  <si>
    <t xml:space="preserve"> ----- EFFECT, NOMINAL</t>
  </si>
  <si>
    <t xml:space="preserve"> ----- FVSCHEDULE, PDURATION, RRI</t>
  </si>
  <si>
    <t xml:space="preserve"> ----- CUMIPMT, CUMPRICE, FV, IPMT, NPER, PMT, PPMT, PV, RATE</t>
  </si>
  <si>
    <t xml:space="preserve"> ----- IRR, MIRR, NPV</t>
  </si>
  <si>
    <t xml:space="preserve"> ----- XIRR, XNPV</t>
  </si>
  <si>
    <t xml:space="preserve"> ----- DOLLARDE, DOLLARFE</t>
  </si>
  <si>
    <t>(Treasury Bills &amp; Agency discount Notes)</t>
  </si>
  <si>
    <t>Face / Par Value:</t>
  </si>
  <si>
    <t>Issue / Settlement Date:</t>
  </si>
  <si>
    <t>Days to Maturity (DTM):</t>
  </si>
  <si>
    <t xml:space="preserve">Dollar Discount = </t>
  </si>
  <si>
    <t xml:space="preserve">(Disc. Rate x Future Value) x (DTM / 360) </t>
  </si>
  <si>
    <t>(.05050 x 1,000,000) x (182 / 360)</t>
  </si>
  <si>
    <t xml:space="preserve">Purchased Cost = </t>
  </si>
  <si>
    <t>(Future Value - Dollar Discount)</t>
  </si>
  <si>
    <t>(1,000,000 - 25,530.56)</t>
  </si>
  <si>
    <t xml:space="preserve">Purchased Price = </t>
  </si>
  <si>
    <t>(Purchased Cost / Future Value) x 100</t>
  </si>
  <si>
    <t>(974,469.44 / 1,000,000) x 100</t>
  </si>
  <si>
    <t xml:space="preserve">Money Market Yield = </t>
  </si>
  <si>
    <t xml:space="preserve">Annualized Yield = </t>
  </si>
  <si>
    <t>((Dollar Disc. / DTM) x 365) / Purchased Cost:</t>
  </si>
  <si>
    <t>((25,306.56 / 182) x 365) / 974,469.44</t>
  </si>
  <si>
    <t>USING EXCEL</t>
  </si>
  <si>
    <t>=PRICEDISC</t>
  </si>
  <si>
    <t>PRICEDISC(settlement,maturity,discount,redemption,basis)</t>
  </si>
  <si>
    <t>Basis</t>
  </si>
  <si>
    <t>Day count basis</t>
  </si>
  <si>
    <t>0 or omitted</t>
  </si>
  <si>
    <t>Actual/actual</t>
  </si>
  <si>
    <t>Actual/360</t>
  </si>
  <si>
    <t>Actual/365</t>
  </si>
  <si>
    <t>=TBILLEQ</t>
  </si>
  <si>
    <t>TBILLEQ(settlement,maturity,discount)</t>
  </si>
  <si>
    <t>CALCULATE THE DISCOUNT</t>
  </si>
  <si>
    <t>[(Par x Disc. Rate)/360] x Days to Mat.</t>
  </si>
  <si>
    <t>Par:</t>
  </si>
  <si>
    <t>Settle:</t>
  </si>
  <si>
    <t>Maturity:</t>
  </si>
  <si>
    <t>Days to Mat. :</t>
  </si>
  <si>
    <t>CONVERTING THE DISCOUNT RATE TO A PRICE</t>
  </si>
  <si>
    <t>$100 x (1 - Disc. Rate x Days to Mat.)/360</t>
  </si>
  <si>
    <t>COMPUTING PRINCIPAL</t>
  </si>
  <si>
    <t>(Par - Discount)</t>
  </si>
  <si>
    <t>(Treasury Notes &amp; Agency Notes)</t>
  </si>
  <si>
    <t>TREASURY NOTES</t>
  </si>
  <si>
    <t>Interest Rate:</t>
  </si>
  <si>
    <t xml:space="preserve"> &lt;-- </t>
  </si>
  <si>
    <t>99 and 29/32</t>
  </si>
  <si>
    <t>Price as a Decimal:</t>
  </si>
  <si>
    <t>=DOLLARDE(99.29, 32)</t>
  </si>
  <si>
    <t>(Maturity - Settlement)</t>
  </si>
  <si>
    <t>=YIELD</t>
  </si>
  <si>
    <t>YIELD(settlement,maturity,rate, price,redemption,frequency,basis)</t>
  </si>
  <si>
    <t>FNMA NOTES</t>
  </si>
  <si>
    <t>CALCULATE PRINCIPAL GIVEN THE PRICE</t>
  </si>
  <si>
    <t>(Par x Price) / 100</t>
  </si>
  <si>
    <t>CALCULATING SEMI-ANNUAL COUPON PMTS.</t>
  </si>
  <si>
    <t>(Par x Coupon Rate) / 2</t>
  </si>
  <si>
    <t>CALCULATING PURCHASED INTEREST - TNOTE</t>
  </si>
  <si>
    <t>(Next Coupon Pmt. / Days in Period) x DB Settle.</t>
  </si>
  <si>
    <t>Coupon Pmt:</t>
  </si>
  <si>
    <t>Days in Period:</t>
  </si>
  <si>
    <t>Days Before Settlement:</t>
  </si>
  <si>
    <t>Purchased Date:</t>
  </si>
  <si>
    <t>Next Coupon Date:</t>
  </si>
  <si>
    <t>Last Coupon:</t>
  </si>
  <si>
    <t>Required Level:</t>
  </si>
  <si>
    <t>Time Deposits</t>
  </si>
  <si>
    <t>Maturity</t>
  </si>
  <si>
    <t>Face Value</t>
  </si>
  <si>
    <t>Accrued Interest</t>
  </si>
  <si>
    <t>Collateral Securities</t>
  </si>
  <si>
    <t>CUSIP</t>
  </si>
  <si>
    <t>Description</t>
  </si>
  <si>
    <t>Market Price</t>
  </si>
  <si>
    <t>Market Value</t>
  </si>
  <si>
    <t>31389AKN1</t>
  </si>
  <si>
    <t>FNMA 3.00% 1/4/2013</t>
  </si>
  <si>
    <t>31361K2M2</t>
  </si>
  <si>
    <t>FHLB 2.75% 5/1/2010</t>
  </si>
  <si>
    <t>3133YC6X4</t>
  </si>
  <si>
    <t>FNMA 2.00% 5/1/2011</t>
  </si>
  <si>
    <t>Total Market Value</t>
  </si>
  <si>
    <t xml:space="preserve"> + FDIC Insurance</t>
  </si>
  <si>
    <t>Total MV + Insurance</t>
  </si>
  <si>
    <t>Total Collateralization Level</t>
  </si>
  <si>
    <t/>
  </si>
  <si>
    <t>IF you utilize a Lettter of Credit (LOC) incorporate the LOC amount as a separate line item.</t>
  </si>
  <si>
    <r>
      <rPr>
        <b/>
        <sz val="12"/>
        <rFont val="Calibri"/>
        <family val="2"/>
      </rPr>
      <t>Settlement</t>
    </r>
    <r>
      <rPr>
        <sz val="12"/>
        <rFont val="Calibri"/>
        <family val="2"/>
      </rPr>
      <t> is the security's settlement date. The security settlement date is the date after the issue date when the security is traded to the buyer.</t>
    </r>
  </si>
  <si>
    <r>
      <rPr>
        <b/>
        <sz val="12"/>
        <rFont val="Calibri"/>
        <family val="2"/>
      </rPr>
      <t xml:space="preserve">Maturity </t>
    </r>
    <r>
      <rPr>
        <sz val="12"/>
        <rFont val="Calibri"/>
        <family val="2"/>
      </rPr>
      <t>is the security's maturity date. The maturity date is the date when the security expires.</t>
    </r>
  </si>
  <si>
    <r>
      <rPr>
        <b/>
        <sz val="12"/>
        <rFont val="Calibri"/>
        <family val="2"/>
      </rPr>
      <t>Discount</t>
    </r>
    <r>
      <rPr>
        <sz val="12"/>
        <rFont val="Calibri"/>
        <family val="2"/>
      </rPr>
      <t> is the security's discount rate.</t>
    </r>
  </si>
  <si>
    <r>
      <rPr>
        <b/>
        <sz val="12"/>
        <rFont val="Calibri"/>
        <family val="2"/>
      </rPr>
      <t>Redemption</t>
    </r>
    <r>
      <rPr>
        <sz val="12"/>
        <rFont val="Calibri"/>
        <family val="2"/>
      </rPr>
      <t> is the security's redemption value per $100 face value.</t>
    </r>
  </si>
  <si>
    <r>
      <rPr>
        <b/>
        <sz val="12"/>
        <rFont val="Calibri"/>
        <family val="2"/>
      </rPr>
      <t>Basis</t>
    </r>
    <r>
      <rPr>
        <sz val="12"/>
        <rFont val="Calibri"/>
        <family val="2"/>
      </rPr>
      <t> is the type of day count basis to use.</t>
    </r>
  </si>
  <si>
    <r>
      <rPr>
        <b/>
        <sz val="12"/>
        <rFont val="Calibri"/>
        <family val="2"/>
      </rPr>
      <t>Rate</t>
    </r>
    <r>
      <rPr>
        <sz val="12"/>
        <rFont val="Calibri"/>
        <family val="2"/>
      </rPr>
      <t xml:space="preserve"> is the security's annual coupon rate</t>
    </r>
    <r>
      <rPr>
        <b/>
        <sz val="12"/>
        <rFont val="Calibri"/>
        <family val="2"/>
      </rPr>
      <t>Discount</t>
    </r>
    <r>
      <rPr>
        <sz val="12"/>
        <rFont val="Calibri"/>
        <family val="2"/>
      </rPr>
      <t> is the security's discount rate.</t>
    </r>
  </si>
  <si>
    <r>
      <rPr>
        <b/>
        <sz val="12"/>
        <rFont val="Calibri"/>
        <family val="2"/>
      </rPr>
      <t xml:space="preserve">Price </t>
    </r>
    <r>
      <rPr>
        <sz val="12"/>
        <rFont val="Calibri"/>
        <family val="2"/>
      </rPr>
      <t>is the security's price value per $100 face value.</t>
    </r>
  </si>
  <si>
    <r>
      <rPr>
        <b/>
        <sz val="12"/>
        <rFont val="Calibri"/>
        <family val="2"/>
      </rPr>
      <t xml:space="preserve">Redemption </t>
    </r>
    <r>
      <rPr>
        <sz val="12"/>
        <rFont val="Calibri"/>
        <family val="2"/>
      </rPr>
      <t>is the security's redemption value per $100 face value.</t>
    </r>
  </si>
  <si>
    <r>
      <rPr>
        <b/>
        <sz val="12"/>
        <rFont val="Calibri"/>
        <family val="2"/>
      </rPr>
      <t xml:space="preserve">Frequency </t>
    </r>
    <r>
      <rPr>
        <sz val="12"/>
        <rFont val="Calibri"/>
        <family val="2"/>
      </rPr>
      <t>is the number of coupon payments per year. (1 = annual, 2 = semi-annual, 4 = quarterly.</t>
    </r>
  </si>
  <si>
    <t>DISCOUNT NOTES</t>
  </si>
  <si>
    <t>NOTES</t>
  </si>
  <si>
    <t>COLLATERAL</t>
  </si>
  <si>
    <t>Investment Pool A</t>
  </si>
  <si>
    <t>Investment Pool B</t>
  </si>
  <si>
    <t>Bank CD #1</t>
  </si>
  <si>
    <t>Bank CD #2</t>
  </si>
  <si>
    <t>Bob</t>
  </si>
  <si>
    <t>Mike</t>
  </si>
  <si>
    <t>Jim</t>
  </si>
  <si>
    <t>Ted</t>
  </si>
  <si>
    <t>Nick</t>
  </si>
  <si>
    <t>Steve</t>
  </si>
  <si>
    <t>Albert</t>
  </si>
  <si>
    <t>Fred</t>
  </si>
  <si>
    <t>David</t>
  </si>
  <si>
    <t>LOOKUP</t>
  </si>
  <si>
    <t>DATA</t>
  </si>
  <si>
    <t>Joe</t>
  </si>
  <si>
    <t>Chip</t>
  </si>
  <si>
    <t>Bill</t>
  </si>
  <si>
    <t>1-013</t>
  </si>
  <si>
    <t>3-056</t>
  </si>
  <si>
    <t>7-085</t>
  </si>
  <si>
    <t>1-985</t>
  </si>
  <si>
    <t>4-005</t>
  </si>
  <si>
    <t>INDEX &amp; MATCH</t>
  </si>
  <si>
    <t>DATA VALIDATION</t>
  </si>
  <si>
    <t>Beginning Balance:</t>
  </si>
  <si>
    <t>Inflows</t>
  </si>
  <si>
    <t>Outflows</t>
  </si>
  <si>
    <t>Balance</t>
  </si>
  <si>
    <t>June</t>
  </si>
  <si>
    <t>July</t>
  </si>
  <si>
    <t>November</t>
  </si>
  <si>
    <t>Student ID</t>
  </si>
  <si>
    <t>Student Name</t>
  </si>
  <si>
    <t>A-989</t>
  </si>
  <si>
    <t>Bill Jones</t>
  </si>
  <si>
    <t>A-784</t>
  </si>
  <si>
    <t>Sue Henderson</t>
  </si>
  <si>
    <t>B-884</t>
  </si>
  <si>
    <t>James Quinn</t>
  </si>
  <si>
    <t>B-982</t>
  </si>
  <si>
    <t>Brad Benson</t>
  </si>
  <si>
    <t>C-091</t>
  </si>
  <si>
    <t>Kaytlin Fritzke</t>
  </si>
  <si>
    <t>D-331</t>
  </si>
  <si>
    <t>Brandon Moore</t>
  </si>
  <si>
    <t>F-873</t>
  </si>
  <si>
    <t>Kyle Webb</t>
  </si>
  <si>
    <t>Data Validation Criteria</t>
  </si>
  <si>
    <t>=COUNTIF($B$25:$B$36,B25)=1</t>
  </si>
  <si>
    <t>STUDENT</t>
  </si>
  <si>
    <t>ETHNICITY</t>
  </si>
  <si>
    <t>List</t>
  </si>
  <si>
    <t>African American</t>
  </si>
  <si>
    <t>American Indian</t>
  </si>
  <si>
    <t>Asian</t>
  </si>
  <si>
    <t>Hispanic</t>
  </si>
  <si>
    <t>White</t>
  </si>
  <si>
    <t>You Build a Drop Down List!!!</t>
  </si>
  <si>
    <t>VENDOR</t>
  </si>
  <si>
    <t>TYPE</t>
  </si>
  <si>
    <t>Bill Jones Construction</t>
  </si>
  <si>
    <t>Samon Ella Food Services</t>
  </si>
  <si>
    <t>Hugh Weeds Lawn Care</t>
  </si>
  <si>
    <t>Company F</t>
  </si>
  <si>
    <t>Company G</t>
  </si>
  <si>
    <t>Company H</t>
  </si>
  <si>
    <t>Company I</t>
  </si>
  <si>
    <t>Company J</t>
  </si>
  <si>
    <t>Enter Acct. #:</t>
  </si>
  <si>
    <t>16-6658</t>
  </si>
  <si>
    <t>Acct.  #</t>
  </si>
  <si>
    <t>Acct. Name</t>
  </si>
  <si>
    <t>20-0002</t>
  </si>
  <si>
    <t>Vendor A</t>
  </si>
  <si>
    <t>Lookup Account Name is:</t>
  </si>
  <si>
    <t>01-0045</t>
  </si>
  <si>
    <t>Vendor B</t>
  </si>
  <si>
    <t>29-1345</t>
  </si>
  <si>
    <t>Vendor C</t>
  </si>
  <si>
    <t>12-1212</t>
  </si>
  <si>
    <t>Vendor D</t>
  </si>
  <si>
    <t>56-8654</t>
  </si>
  <si>
    <t>Vendor E</t>
  </si>
  <si>
    <t>77-3110</t>
  </si>
  <si>
    <t>Vendor F</t>
  </si>
  <si>
    <t>14-1882</t>
  </si>
  <si>
    <t>Vendor G</t>
  </si>
  <si>
    <t>14-5710</t>
  </si>
  <si>
    <t>Vendor H</t>
  </si>
  <si>
    <t>07-0025</t>
  </si>
  <si>
    <t>Vendor I</t>
  </si>
  <si>
    <t>07-4441</t>
  </si>
  <si>
    <t>Vendor J</t>
  </si>
  <si>
    <t>Vendor K</t>
  </si>
  <si>
    <t>VLOOKUP</t>
  </si>
  <si>
    <t>Score</t>
  </si>
  <si>
    <t>Grade</t>
  </si>
  <si>
    <t>F</t>
  </si>
  <si>
    <t>D</t>
  </si>
  <si>
    <t>C</t>
  </si>
  <si>
    <t>B</t>
  </si>
  <si>
    <t>A</t>
  </si>
  <si>
    <t>Weight</t>
  </si>
  <si>
    <t>Shipping Price</t>
  </si>
  <si>
    <t>Price / lb.</t>
  </si>
  <si>
    <t>Weight lb.</t>
  </si>
  <si>
    <t>SUMPRODUCT</t>
  </si>
  <si>
    <t>Vendor #</t>
  </si>
  <si>
    <t>13-085</t>
  </si>
  <si>
    <t>23-001</t>
  </si>
  <si>
    <t>12-653</t>
  </si>
  <si>
    <t>10-102</t>
  </si>
  <si>
    <t>16-914</t>
  </si>
  <si>
    <t>14-045</t>
  </si>
  <si>
    <t>Count</t>
  </si>
  <si>
    <t>Value</t>
  </si>
  <si>
    <t>Item</t>
  </si>
  <si>
    <t>Apples</t>
  </si>
  <si>
    <t>Pears</t>
  </si>
  <si>
    <t>Limes</t>
  </si>
  <si>
    <t>Items</t>
  </si>
  <si>
    <t>Oranges</t>
  </si>
  <si>
    <t>Items = J5:J7</t>
  </si>
  <si>
    <t>Sum</t>
  </si>
  <si>
    <t>SUM IF EQUAL TO SEVERAL THINGS</t>
  </si>
  <si>
    <t>SUM &amp; COUNT EXACT MATCH</t>
  </si>
  <si>
    <t>CALCULATE GRADE</t>
  </si>
  <si>
    <t>CALCULATE SHIPPING PRICE</t>
  </si>
  <si>
    <t>TABLE LOOKUP</t>
  </si>
  <si>
    <t>TABLE LOOKUP FOR DATA VALIDATION</t>
  </si>
  <si>
    <t>Another Example - No Duplicates</t>
  </si>
  <si>
    <t>Another Example - Drop Down List</t>
  </si>
  <si>
    <t>VLOOKUP is an Excel function to lookup and retrieve data from a specific column in table.</t>
  </si>
  <si>
    <t>Syntax </t>
  </si>
  <si>
    <t>=VLOOKUP (value, table, col_index, [range_lookup])</t>
  </si>
  <si>
    <t>Arguments </t>
  </si>
  <si>
    <r>
      <t>value</t>
    </r>
    <r>
      <rPr>
        <sz val="12"/>
        <color theme="1"/>
        <rFont val="Calibri"/>
        <family val="2"/>
        <scheme val="minor"/>
      </rPr>
      <t xml:space="preserve"> - The value to look for in the first column of a table.</t>
    </r>
  </si>
  <si>
    <r>
      <t>table</t>
    </r>
    <r>
      <rPr>
        <sz val="12"/>
        <color theme="1"/>
        <rFont val="Calibri"/>
        <family val="2"/>
        <scheme val="minor"/>
      </rPr>
      <t xml:space="preserve"> - The table from which to retrieve a value.</t>
    </r>
  </si>
  <si>
    <r>
      <t>col_index</t>
    </r>
    <r>
      <rPr>
        <sz val="12"/>
        <color theme="1"/>
        <rFont val="Calibri"/>
        <family val="2"/>
        <scheme val="minor"/>
      </rPr>
      <t xml:space="preserve"> - The column in the table from which to retrieve a value.</t>
    </r>
  </si>
  <si>
    <r>
      <t>range_lookup</t>
    </r>
    <r>
      <rPr>
        <sz val="12"/>
        <color theme="1"/>
        <rFont val="Calibri"/>
        <family val="2"/>
        <scheme val="minor"/>
      </rPr>
      <t xml:space="preserve"> - [optional] TRUE = approximate match (default). FALSE = exact match.</t>
    </r>
  </si>
  <si>
    <t>SUMPRODUCT function multiplies ranges or arrays together and returns the sum of products.</t>
  </si>
  <si>
    <t>=SUMPRODUCT (array1, [array2], ...)</t>
  </si>
  <si>
    <r>
      <t>array1</t>
    </r>
    <r>
      <rPr>
        <sz val="12"/>
        <color theme="1"/>
        <rFont val="Calibri"/>
        <family val="2"/>
        <scheme val="minor"/>
      </rPr>
      <t xml:space="preserve"> - The first array or range to multiply, then add.</t>
    </r>
  </si>
  <si>
    <r>
      <t>array2</t>
    </r>
    <r>
      <rPr>
        <sz val="12"/>
        <color theme="1"/>
        <rFont val="Calibri"/>
        <family val="2"/>
        <scheme val="minor"/>
      </rPr>
      <t xml:space="preserve"> - [optional] The second array or range to multiply, then add.</t>
    </r>
  </si>
  <si>
    <t>RESORTING</t>
  </si>
  <si>
    <t>Full Name</t>
  </si>
  <si>
    <t>First</t>
  </si>
  <si>
    <t>Last</t>
  </si>
  <si>
    <t>Resorting</t>
  </si>
  <si>
    <t>James Cameron</t>
  </si>
  <si>
    <t>Chuck Wagon</t>
  </si>
  <si>
    <t>Ridley Scott</t>
  </si>
  <si>
    <t>Mike Hammer</t>
  </si>
  <si>
    <t>Julia Childs</t>
  </si>
  <si>
    <t>Brian Brazil</t>
  </si>
  <si>
    <t>Joe Hinkle</t>
  </si>
  <si>
    <t>Bill Tocci</t>
  </si>
  <si>
    <t>Keith Owens</t>
  </si>
  <si>
    <t>Sally Mayes</t>
  </si>
  <si>
    <t>Linda Hamilton</t>
  </si>
  <si>
    <t>Ann Grotkopf</t>
  </si>
  <si>
    <t>Julie Stockton</t>
  </si>
  <si>
    <t>Matt Wells</t>
  </si>
  <si>
    <t>Penny Marshall</t>
  </si>
  <si>
    <t>Jack McDaniel</t>
  </si>
  <si>
    <t>Emily Brown</t>
  </si>
  <si>
    <t>TEXT DATE</t>
  </si>
  <si>
    <t>Display</t>
  </si>
  <si>
    <t>Explanation</t>
  </si>
  <si>
    <t>=TEXT(A4,"d")</t>
  </si>
  <si>
    <t>Day as a number w/o leading zero</t>
  </si>
  <si>
    <t>=TEXT(A5,"dd")</t>
  </si>
  <si>
    <t>Day as a number with leading zero</t>
  </si>
  <si>
    <t>=TEXT(A6,"ddd")</t>
  </si>
  <si>
    <t>Day as an abbreviation</t>
  </si>
  <si>
    <t>=TEXT(A7,"dddd")</t>
  </si>
  <si>
    <t>Day as full name</t>
  </si>
  <si>
    <t>=TEXT(A10,"m")</t>
  </si>
  <si>
    <t>Month as a number w/o leading zero</t>
  </si>
  <si>
    <t>=TEXT(A11,"mm")</t>
  </si>
  <si>
    <t>Month as a number with leading zero</t>
  </si>
  <si>
    <t>=TEXT(A12,"mmm")</t>
  </si>
  <si>
    <t>Month as an abbreviation</t>
  </si>
  <si>
    <t>=TEXT(A13,"mmmm")</t>
  </si>
  <si>
    <t>Month as a full name</t>
  </si>
  <si>
    <t>=TEXT(A14,"mmmmm")</t>
  </si>
  <si>
    <t>Month as a single letter</t>
  </si>
  <si>
    <t>=TEXT(A17,"yy")</t>
  </si>
  <si>
    <t>Year as a 2-digit year</t>
  </si>
  <si>
    <t>=TEXT(A18,"yyyy")</t>
  </si>
  <si>
    <t>Year as a 4-digit year</t>
  </si>
  <si>
    <t>More Text</t>
  </si>
  <si>
    <t>String #1</t>
  </si>
  <si>
    <t>String #2</t>
  </si>
  <si>
    <t>String #3</t>
  </si>
  <si>
    <t>C:\EXCEL\TEXT.XLS</t>
  </si>
  <si>
    <t>may expenses</t>
  </si>
  <si>
    <t>jOHN rEBEL</t>
  </si>
  <si>
    <t>Function:</t>
  </si>
  <si>
    <t>LEFT(string,3)</t>
  </si>
  <si>
    <t>MID(string,4,5)</t>
  </si>
  <si>
    <t>RIGHT(string,8)</t>
  </si>
  <si>
    <t>LOWER(string)</t>
  </si>
  <si>
    <t>UPPER(string)</t>
  </si>
  <si>
    <t>PROPER(string)</t>
  </si>
  <si>
    <t>FIND("E",string)</t>
  </si>
  <si>
    <t>FIND("e",string)</t>
  </si>
  <si>
    <t>SEARCH("E",string)</t>
  </si>
  <si>
    <t>LEN(string)</t>
  </si>
  <si>
    <t>Query</t>
  </si>
  <si>
    <t>Contains:</t>
  </si>
  <si>
    <t>ra</t>
  </si>
  <si>
    <t>IF CELL CONTAINS</t>
  </si>
  <si>
    <t>CONDITION</t>
  </si>
  <si>
    <t>EQUATION</t>
  </si>
  <si>
    <t>RESPONSE</t>
  </si>
  <si>
    <t>Equal to "BLUE"</t>
  </si>
  <si>
    <t>BLUE</t>
  </si>
  <si>
    <t>=IF(B4="BLUE", "Good", "Not Yet")</t>
  </si>
  <si>
    <t>Not Equal to "BLUE</t>
  </si>
  <si>
    <t>RED</t>
  </si>
  <si>
    <t>=IF(B5&lt;&gt;"BLUE","Not", "Is Equal")</t>
  </si>
  <si>
    <t>Greater than 69</t>
  </si>
  <si>
    <t>=IF(B6&gt;69, "Passing","Not Passing")</t>
  </si>
  <si>
    <t>Greater than or equal to 70</t>
  </si>
  <si>
    <t>=IF(B7&gt;=70, "Passing","Not Passing")</t>
  </si>
  <si>
    <t>IF CELL CONDITIONS</t>
  </si>
  <si>
    <t>MATH GRADE</t>
  </si>
  <si>
    <t>ENGLISH GRADE</t>
  </si>
  <si>
    <t>SCIENCE GRADE</t>
  </si>
  <si>
    <t>Student A</t>
  </si>
  <si>
    <t>Student B</t>
  </si>
  <si>
    <t>Student C</t>
  </si>
  <si>
    <t>Student D</t>
  </si>
  <si>
    <t>Student E</t>
  </si>
  <si>
    <t>Student F</t>
  </si>
  <si>
    <t>Student G</t>
  </si>
  <si>
    <t>Student H</t>
  </si>
  <si>
    <t>Student I</t>
  </si>
  <si>
    <t>Student J</t>
  </si>
  <si>
    <t>IF WITH SEVERAL CONDITIONS</t>
  </si>
  <si>
    <t>IF STATEMENT</t>
  </si>
  <si>
    <t>EVALUATION</t>
  </si>
  <si>
    <t>Tray Johnson</t>
  </si>
  <si>
    <t>DATE</t>
  </si>
  <si>
    <t>TEXT</t>
  </si>
  <si>
    <t>PIVOT TABLES</t>
  </si>
  <si>
    <t>COMPARING</t>
  </si>
  <si>
    <t>VENDORS</t>
  </si>
  <si>
    <t>Address</t>
  </si>
  <si>
    <t>City</t>
  </si>
  <si>
    <t>Zip</t>
  </si>
  <si>
    <t>PO Box 4333</t>
  </si>
  <si>
    <t>Houston</t>
  </si>
  <si>
    <t>TX</t>
  </si>
  <si>
    <t>77210-4333</t>
  </si>
  <si>
    <t>Box 187</t>
  </si>
  <si>
    <t>Howe</t>
  </si>
  <si>
    <t>75459-0187</t>
  </si>
  <si>
    <t>4200 S. Freeway #718</t>
  </si>
  <si>
    <t>Fort Worth</t>
  </si>
  <si>
    <t>76115-1403</t>
  </si>
  <si>
    <t>PO Box 477</t>
  </si>
  <si>
    <t>Daisetta</t>
  </si>
  <si>
    <t>77533-0477</t>
  </si>
  <si>
    <t>PO Box 448</t>
  </si>
  <si>
    <t>Belton</t>
  </si>
  <si>
    <t>76513-0448</t>
  </si>
  <si>
    <t>244 S. Main St.</t>
  </si>
  <si>
    <t>Jacksboro</t>
  </si>
  <si>
    <t>76458-2359</t>
  </si>
  <si>
    <t>801 E. Brown St.</t>
  </si>
  <si>
    <t>Alpine</t>
  </si>
  <si>
    <t>79830-3209</t>
  </si>
  <si>
    <t>PO Box 9</t>
  </si>
  <si>
    <t>Tuscola</t>
  </si>
  <si>
    <t>79562-0009</t>
  </si>
  <si>
    <t>PO Box 657</t>
  </si>
  <si>
    <t>Big Sandy</t>
  </si>
  <si>
    <t>75755-0657</t>
  </si>
  <si>
    <t>PO Box 259</t>
  </si>
  <si>
    <t>Karnack</t>
  </si>
  <si>
    <t>75661-0259</t>
  </si>
  <si>
    <t>1901 N. Highway 87</t>
  </si>
  <si>
    <t>Big Spring</t>
  </si>
  <si>
    <t>79720-0283</t>
  </si>
  <si>
    <t>PO Box 123</t>
  </si>
  <si>
    <t>Kennedale</t>
  </si>
  <si>
    <t>1135 Mission Rd.</t>
  </si>
  <si>
    <t>San Antonio</t>
  </si>
  <si>
    <t>78210-4598</t>
  </si>
  <si>
    <t>PO Box 705</t>
  </si>
  <si>
    <t>Kendleton</t>
  </si>
  <si>
    <t>77451-0705</t>
  </si>
  <si>
    <t>PO Box 101</t>
  </si>
  <si>
    <t>Bluff Dale</t>
  </si>
  <si>
    <t>76433-0101</t>
  </si>
  <si>
    <t>Box 100</t>
  </si>
  <si>
    <t>Sarita</t>
  </si>
  <si>
    <t>78385-0100</t>
  </si>
  <si>
    <t>PO Box 125</t>
  </si>
  <si>
    <t>Booker</t>
  </si>
  <si>
    <t>79005-0125</t>
  </si>
  <si>
    <t>PO Box 31</t>
  </si>
  <si>
    <t>Junction</t>
  </si>
  <si>
    <t>76849-0031</t>
  </si>
  <si>
    <t>PO Box 623</t>
  </si>
  <si>
    <t>Brenham</t>
  </si>
  <si>
    <t>77832-0623</t>
  </si>
  <si>
    <t>PO Box 227</t>
  </si>
  <si>
    <t>76849-0227</t>
  </si>
  <si>
    <t>PO Box 1030</t>
  </si>
  <si>
    <t>Childress</t>
  </si>
  <si>
    <t>79201-1030</t>
  </si>
  <si>
    <t>206 E. Main St.</t>
  </si>
  <si>
    <t>Kirbyville</t>
  </si>
  <si>
    <t>75956-2128</t>
  </si>
  <si>
    <t>PO Box 44</t>
  </si>
  <si>
    <t>Abbott</t>
  </si>
  <si>
    <t>76621-0044</t>
  </si>
  <si>
    <t>PO Box 746</t>
  </si>
  <si>
    <t>Knox City</t>
  </si>
  <si>
    <t>79529-0746</t>
  </si>
  <si>
    <t>RR10 Box 5186</t>
  </si>
  <si>
    <t>Nacogdoches</t>
  </si>
  <si>
    <t>75965-9463</t>
  </si>
  <si>
    <t>RR1 Box 87C</t>
  </si>
  <si>
    <t>Falfurrias</t>
  </si>
  <si>
    <t>78355-9712</t>
  </si>
  <si>
    <t>PO Box 2000</t>
  </si>
  <si>
    <t>Aransas Pass</t>
  </si>
  <si>
    <t>78335-2000</t>
  </si>
  <si>
    <t>PO Box 1409</t>
  </si>
  <si>
    <t>La Joya</t>
  </si>
  <si>
    <t>78560-1409</t>
  </si>
  <si>
    <t>1796 Reeves Rd.</t>
  </si>
  <si>
    <t>Whitewright</t>
  </si>
  <si>
    <t>75491-5197</t>
  </si>
  <si>
    <t>PO Box 519</t>
  </si>
  <si>
    <t>La Pryor</t>
  </si>
  <si>
    <t>78872-0519</t>
  </si>
  <si>
    <t>PO Box 310</t>
  </si>
  <si>
    <t>Big Lake</t>
  </si>
  <si>
    <t>76932-0310</t>
  </si>
  <si>
    <t>703 Broadmoor Dr.</t>
  </si>
  <si>
    <t>Dallas</t>
  </si>
  <si>
    <t>75010-2587</t>
  </si>
  <si>
    <t>PO Box 430</t>
  </si>
  <si>
    <t>Brookeland</t>
  </si>
  <si>
    <t>75931-0430</t>
  </si>
  <si>
    <t>PO Box 460</t>
  </si>
  <si>
    <t>Memphis</t>
  </si>
  <si>
    <t>79245-0460</t>
  </si>
  <si>
    <t>PO Box 248</t>
  </si>
  <si>
    <t>China</t>
  </si>
  <si>
    <t>77613-0248</t>
  </si>
  <si>
    <t>PO Box 390</t>
  </si>
  <si>
    <t>Lefors</t>
  </si>
  <si>
    <t>79054-0390</t>
  </si>
  <si>
    <t>91 N. Side Square</t>
  </si>
  <si>
    <t>Cooper</t>
  </si>
  <si>
    <t>75432-1936</t>
  </si>
  <si>
    <t>PO Box 68</t>
  </si>
  <si>
    <t>Leggett</t>
  </si>
  <si>
    <t>77350-0068</t>
  </si>
  <si>
    <t>RR5 Box 391</t>
  </si>
  <si>
    <t>Wichita Falls</t>
  </si>
  <si>
    <t>76305-9591</t>
  </si>
  <si>
    <t>PO Box 157</t>
  </si>
  <si>
    <t>Jewett</t>
  </si>
  <si>
    <t>75846-0157</t>
  </si>
  <si>
    <t>150 PR 8279</t>
  </si>
  <si>
    <t>Ben Wheeler</t>
  </si>
  <si>
    <t>75754-5272</t>
  </si>
  <si>
    <t>Linden</t>
  </si>
  <si>
    <t>75563-0390</t>
  </si>
  <si>
    <t>507 Cadena</t>
  </si>
  <si>
    <t>El Cenizo</t>
  </si>
  <si>
    <t>78046-7947</t>
  </si>
  <si>
    <t>PO Box 145</t>
  </si>
  <si>
    <t>Lindsay</t>
  </si>
  <si>
    <t>76250-0145</t>
  </si>
  <si>
    <t>7286 Dietz Elkhorn</t>
  </si>
  <si>
    <t>Fair Oaks Ranch</t>
  </si>
  <si>
    <t>78015-4707</t>
  </si>
  <si>
    <t>PO Box 70</t>
  </si>
  <si>
    <t>Vancourt</t>
  </si>
  <si>
    <t>76955-0070</t>
  </si>
  <si>
    <t>PO Box 197</t>
  </si>
  <si>
    <t>Fruitvale</t>
  </si>
  <si>
    <t>75127-0197</t>
  </si>
  <si>
    <t>PO Box 63</t>
  </si>
  <si>
    <t>Lipscomb</t>
  </si>
  <si>
    <t>79056-0063</t>
  </si>
  <si>
    <t>PO Box 37</t>
  </si>
  <si>
    <t>Groveton</t>
  </si>
  <si>
    <t>75845-0037</t>
  </si>
  <si>
    <t>PO Box 1285</t>
  </si>
  <si>
    <t>Buda</t>
  </si>
  <si>
    <t>78610-1285</t>
  </si>
  <si>
    <t>PO Box 3116</t>
  </si>
  <si>
    <t>Abilene</t>
  </si>
  <si>
    <t>79604-3116</t>
  </si>
  <si>
    <t>PO Box 840</t>
  </si>
  <si>
    <t>Italy</t>
  </si>
  <si>
    <t>76651-0840</t>
  </si>
  <si>
    <t>112 Bauman St.</t>
  </si>
  <si>
    <t>Kirby</t>
  </si>
  <si>
    <t>78219-1063</t>
  </si>
  <si>
    <t>PO Box 112</t>
  </si>
  <si>
    <t>La Coste</t>
  </si>
  <si>
    <t>78039-0112</t>
  </si>
  <si>
    <t>PO Box 60</t>
  </si>
  <si>
    <t>La Villa</t>
  </si>
  <si>
    <t>78562-0060</t>
  </si>
  <si>
    <t>207 Milam Rd.</t>
  </si>
  <si>
    <t>Longview</t>
  </si>
  <si>
    <t>75603-5608</t>
  </si>
  <si>
    <t>100 S. Highridge Dr.</t>
  </si>
  <si>
    <t>Little Elm</t>
  </si>
  <si>
    <t>75068-4300</t>
  </si>
  <si>
    <t>PO Box 1108</t>
  </si>
  <si>
    <t>Latexo</t>
  </si>
  <si>
    <t>75849-1108</t>
  </si>
  <si>
    <t>110 Parker Pkwy.</t>
  </si>
  <si>
    <t>Lincoln Park</t>
  </si>
  <si>
    <t>76227-9297</t>
  </si>
  <si>
    <t>14387 Alamo Rd.</t>
  </si>
  <si>
    <t>Log Cabin</t>
  </si>
  <si>
    <t>75148-3511</t>
  </si>
  <si>
    <t>PO Box 293</t>
  </si>
  <si>
    <t>Mabank</t>
  </si>
  <si>
    <t>75147-0293</t>
  </si>
  <si>
    <t>PO Box 787</t>
  </si>
  <si>
    <t>Marfa</t>
  </si>
  <si>
    <t>79843-0787</t>
  </si>
  <si>
    <t>PO Box 85</t>
  </si>
  <si>
    <t>Marquez</t>
  </si>
  <si>
    <t>77865-0085</t>
  </si>
  <si>
    <t>100 Kent St.</t>
  </si>
  <si>
    <t>Merkel</t>
  </si>
  <si>
    <t>79536-3612</t>
  </si>
  <si>
    <t>PO Box 52</t>
  </si>
  <si>
    <t>Milano</t>
  </si>
  <si>
    <t>76556-0052</t>
  </si>
  <si>
    <t>201 E. Wilson</t>
  </si>
  <si>
    <t>Morton</t>
  </si>
  <si>
    <t>79346-2650</t>
  </si>
  <si>
    <t>PO Box 96</t>
  </si>
  <si>
    <t>Mullin</t>
  </si>
  <si>
    <t>76864-0096</t>
  </si>
  <si>
    <t>PO Box 325</t>
  </si>
  <si>
    <t>Corsicana</t>
  </si>
  <si>
    <t>75151-0325</t>
  </si>
  <si>
    <t>222 S. Harvard Ave.</t>
  </si>
  <si>
    <t>75109-3629</t>
  </si>
  <si>
    <t>PO Box D</t>
  </si>
  <si>
    <t>Nome</t>
  </si>
  <si>
    <t>77629-0218</t>
  </si>
  <si>
    <t>Nomangee</t>
  </si>
  <si>
    <t>77871-0037</t>
  </si>
  <si>
    <t>CONDITIONAL FORMATTING</t>
  </si>
  <si>
    <t>Due</t>
  </si>
  <si>
    <t>Electric</t>
  </si>
  <si>
    <t>Floors</t>
  </si>
  <si>
    <t>Cabinets</t>
  </si>
  <si>
    <t>Lighting</t>
  </si>
  <si>
    <t>Inspection</t>
  </si>
  <si>
    <t>Date:</t>
  </si>
  <si>
    <t>Target Percentage</t>
  </si>
  <si>
    <t>Key:</t>
  </si>
  <si>
    <t>Excellent</t>
  </si>
  <si>
    <t>Good</t>
  </si>
  <si>
    <t>Fair</t>
  </si>
  <si>
    <t>Dept.</t>
  </si>
  <si>
    <t>E</t>
  </si>
  <si>
    <t>G</t>
  </si>
  <si>
    <t>H</t>
  </si>
  <si>
    <t>I</t>
  </si>
  <si>
    <t>J</t>
  </si>
  <si>
    <t>Years</t>
  </si>
  <si>
    <t>ODDLYIELD(settlement, maturity, last_interest, rate, pr, redemption, frequency, [basis])</t>
  </si>
  <si>
    <t>DEPRECIATION &amp; AMORTIZATION</t>
  </si>
  <si>
    <t>AMORDEGRC</t>
  </si>
  <si>
    <t>Calculates the prorated linear depreciation of an asset for each accounting period (with depreciation coefficient applied, depending on the life of the asset)</t>
  </si>
  <si>
    <t>AMORLINC</t>
  </si>
  <si>
    <t>Calculates the prorated linear depreciation of an asset for each accounting period</t>
  </si>
  <si>
    <t>DB</t>
  </si>
  <si>
    <t>DDB</t>
  </si>
  <si>
    <t>SLN</t>
  </si>
  <si>
    <t>SYD</t>
  </si>
  <si>
    <t>VDB</t>
  </si>
  <si>
    <t>AMORDEGRC( cost, date_purchased, first_period, salvage, period, rate, [basis] )</t>
  </si>
  <si>
    <t>AMORLINC( cost, date_purchased, first_period, salvage, period, rate, [basis] )</t>
  </si>
  <si>
    <t>Calculates the depreciation of an asset for a specified period, using the fixed-declining balance method</t>
  </si>
  <si>
    <t>DB( cost, salvage, life, period, [month] )</t>
  </si>
  <si>
    <t>Calculates the depreciation of an asset for a specified period, using the double-declining balance method, or some other user-specified method</t>
  </si>
  <si>
    <t>DDB( cost, salvage, life, period, [factor] )</t>
  </si>
  <si>
    <t>Returns the straight-line depreciation of an asset for one period</t>
  </si>
  <si>
    <t>SLN( cost, salvage, life )</t>
  </si>
  <si>
    <t>Returns the sum-of-years' digits depreciation of an asset for a specified period</t>
  </si>
  <si>
    <t>SYD( cost, salvage, life, per )</t>
  </si>
  <si>
    <t>Returns the depreciation of an asset for a specified period, (including partial periods), using the double-declining balance method or another user-specified method</t>
  </si>
  <si>
    <t>VDB( cost, salvage, life, start_period, end_period, [factor], [no_switch] )</t>
  </si>
  <si>
    <t>Cost</t>
  </si>
  <si>
    <t>Date Purch.</t>
  </si>
  <si>
    <t>First Period</t>
  </si>
  <si>
    <t>Salvage Val.</t>
  </si>
  <si>
    <t>Period</t>
  </si>
  <si>
    <t>Depreciation</t>
  </si>
  <si>
    <t>Life</t>
  </si>
  <si>
    <t>Salvage Value</t>
  </si>
  <si>
    <t>Year</t>
  </si>
  <si>
    <t xml:space="preserve"> - Depreciation &amp; Amortization Functions</t>
  </si>
  <si>
    <t xml:space="preserve"> ----- AMORDEGRC, AMORLINC, DB, DDB, SLN, SYD, VDB</t>
  </si>
  <si>
    <t>PORTFOLIO RETURN</t>
  </si>
  <si>
    <t>Pool A</t>
  </si>
  <si>
    <t>Pool B</t>
  </si>
  <si>
    <t>Pool C</t>
  </si>
  <si>
    <t>Net Yield</t>
  </si>
  <si>
    <t>Port. Return</t>
  </si>
  <si>
    <t>HOLDING PERIOD RETURN</t>
  </si>
  <si>
    <t>Int. Earnings</t>
  </si>
  <si>
    <t>Beg. Value</t>
  </si>
  <si>
    <t>Ending Value</t>
  </si>
  <si>
    <t>CD 1</t>
  </si>
  <si>
    <t>CD 2</t>
  </si>
  <si>
    <t>CD 3</t>
  </si>
  <si>
    <t>HPR</t>
  </si>
  <si>
    <t>%age (Weight)</t>
  </si>
  <si>
    <t>The weight of each assett multiplied by the return of each asset.</t>
  </si>
  <si>
    <t>Calculates the total return from holding a given asset. </t>
  </si>
  <si>
    <t>DISCLAIMER - LIMIT OF LIABILITY: WHILE BEST EFFORTS HAVE BEEN USED IN THE CREATION OF THIS WORKSHEET, THERE ARE NO REPRESENTATIONS OR WARRANTIES WITH RESPECT TO THE ACCURACY OR COMPLETENESS OF THE CONTENTS OF THIS WORKSHEET AND SPECIFICALLY DISCLAIM ANY IMPLIED WARRANTIES FOR A PARTICULAR PURPOSE.  NO WARRANTY ARE CREATED OR EXTENDED.  THE CREATION AND UTILIZATION OF FORMULAS, TEMPLATES, EQUATIONS AND FORMATTING MAY NOT BE SUITABLE FOR YOUR SITUATION.  THESE WORKSHEETS, EXPLANATIONS AND EQUATIONS ARE SHOWN AS EXAMPLES ONLY.  NEITHER THE NCTCOG, NOR THE AUTHOR OF THIS WORKSHEET SHALL BE LIABLE FOR ANY LOSS, INACCURACIES OR DAMAGES INCLUDING SPECIAL, INCIDENTIAL, CONSEQUENTIAL, OR OTHER DAMAGES.</t>
  </si>
  <si>
    <t>RETURN ON INVESTMENT (ROI)</t>
  </si>
  <si>
    <t>(FINAL VALUE - INITIAL VALUE) + DIVIDENDS - COMMISSIONS</t>
  </si>
  <si>
    <t>INITIAL VALUE</t>
  </si>
  <si>
    <t xml:space="preserve">P = 100 ( 1 - (Disc. Rate * DTM) / 360 </t>
  </si>
  <si>
    <t>Y = (100 - Price)/Price * 100 * (360/DTM)</t>
  </si>
  <si>
    <t>EQ = (100 - PRICE)/PRICE * (365/DTM)</t>
  </si>
  <si>
    <t>((25,530.56 / 182) x 365) / 974,469.44</t>
  </si>
  <si>
    <t>Call Date</t>
  </si>
  <si>
    <t>Final Mat.</t>
  </si>
  <si>
    <t>EMPLOYEES</t>
  </si>
  <si>
    <t>Adrian Burns</t>
  </si>
  <si>
    <t>Preston Stuart</t>
  </si>
  <si>
    <t>William Bruskle</t>
  </si>
  <si>
    <t>SUMIF</t>
  </si>
  <si>
    <t>BENFORD'S LAW</t>
  </si>
  <si>
    <r>
      <t>Benford's law</t>
    </r>
    <r>
      <rPr>
        <sz val="12"/>
        <color theme="1"/>
        <rFont val="Calibri"/>
        <family val="2"/>
        <scheme val="minor"/>
      </rPr>
      <t>, also known as the "</t>
    </r>
    <r>
      <rPr>
        <b/>
        <sz val="12"/>
        <color theme="1"/>
        <rFont val="Calibri"/>
        <family val="2"/>
        <scheme val="minor"/>
      </rPr>
      <t>Newcomb–Benford Law"</t>
    </r>
    <r>
      <rPr>
        <sz val="12"/>
        <color theme="1"/>
        <rFont val="Calibri"/>
        <family val="2"/>
        <scheme val="minor"/>
      </rPr>
      <t xml:space="preserve">, the </t>
    </r>
    <r>
      <rPr>
        <b/>
        <sz val="12"/>
        <color theme="1"/>
        <rFont val="Calibri"/>
        <family val="2"/>
        <scheme val="minor"/>
      </rPr>
      <t>law of anomalous numbers</t>
    </r>
    <r>
      <rPr>
        <sz val="12"/>
        <color theme="1"/>
        <rFont val="Calibri"/>
        <family val="2"/>
        <scheme val="minor"/>
      </rPr>
      <t xml:space="preserve">, or the </t>
    </r>
    <r>
      <rPr>
        <b/>
        <sz val="12"/>
        <color theme="1"/>
        <rFont val="Calibri"/>
        <family val="2"/>
        <scheme val="minor"/>
      </rPr>
      <t>first-digit law</t>
    </r>
    <r>
      <rPr>
        <sz val="12"/>
        <color theme="1"/>
        <rFont val="Calibri"/>
        <family val="2"/>
        <scheme val="minor"/>
      </rPr>
      <t>, is an observation that in many real-life sets of numerical data, the leading digit is likely to be small.</t>
    </r>
  </si>
  <si>
    <t xml:space="preserve">Country </t>
  </si>
  <si>
    <t xml:space="preserve">2023 (Live) </t>
  </si>
  <si>
    <t xml:space="preserve">Area (km²) </t>
  </si>
  <si>
    <t xml:space="preserve">Land Area (km²) </t>
  </si>
  <si>
    <t>First Digit</t>
  </si>
  <si>
    <t>Digits</t>
  </si>
  <si>
    <t>Occurances</t>
  </si>
  <si>
    <t>%age</t>
  </si>
  <si>
    <t>Digit</t>
  </si>
  <si>
    <t>Dist% Benford's Law</t>
  </si>
  <si>
    <t>Diff.</t>
  </si>
  <si>
    <t>India</t>
  </si>
  <si>
    <t>1</t>
  </si>
  <si>
    <t>United States</t>
  </si>
  <si>
    <t>3</t>
  </si>
  <si>
    <t>Indonesia</t>
  </si>
  <si>
    <t>2</t>
  </si>
  <si>
    <t>Pakistan</t>
  </si>
  <si>
    <t>Nigeria</t>
  </si>
  <si>
    <t>Brazil</t>
  </si>
  <si>
    <t>Bangladesh</t>
  </si>
  <si>
    <t>Russia</t>
  </si>
  <si>
    <t>Mexico</t>
  </si>
  <si>
    <t>Ethiopia</t>
  </si>
  <si>
    <t>Japan</t>
  </si>
  <si>
    <t>Philippines</t>
  </si>
  <si>
    <t>Egypt</t>
  </si>
  <si>
    <t>Dr Congo</t>
  </si>
  <si>
    <t>Vietnam</t>
  </si>
  <si>
    <t>9</t>
  </si>
  <si>
    <t>Iran</t>
  </si>
  <si>
    <t>8</t>
  </si>
  <si>
    <t>Turkey</t>
  </si>
  <si>
    <t>Germany</t>
  </si>
  <si>
    <t>Thailand</t>
  </si>
  <si>
    <t>7</t>
  </si>
  <si>
    <t>United Kingdom</t>
  </si>
  <si>
    <t>6</t>
  </si>
  <si>
    <t>Tanzania</t>
  </si>
  <si>
    <t>France</t>
  </si>
  <si>
    <t>South Africa</t>
  </si>
  <si>
    <t>5</t>
  </si>
  <si>
    <t>Kenya</t>
  </si>
  <si>
    <t>Myanmar</t>
  </si>
  <si>
    <t>Colombia</t>
  </si>
  <si>
    <t>South Korea</t>
  </si>
  <si>
    <t>Uganda</t>
  </si>
  <si>
    <t>4</t>
  </si>
  <si>
    <t>Sudan</t>
  </si>
  <si>
    <t>Spain</t>
  </si>
  <si>
    <t>Argentina</t>
  </si>
  <si>
    <t>Algeria</t>
  </si>
  <si>
    <t>Iraq</t>
  </si>
  <si>
    <t>Afghanistan</t>
  </si>
  <si>
    <t>Poland</t>
  </si>
  <si>
    <t>Canada</t>
  </si>
  <si>
    <t>Morocco</t>
  </si>
  <si>
    <t>Saudi Arabia</t>
  </si>
  <si>
    <t>Ukraine</t>
  </si>
  <si>
    <t>Angola</t>
  </si>
  <si>
    <t>Uzbekistan</t>
  </si>
  <si>
    <t>Yemen</t>
  </si>
  <si>
    <t>Peru</t>
  </si>
  <si>
    <t>Malaysia</t>
  </si>
  <si>
    <t>Ghana</t>
  </si>
  <si>
    <t>Mozambique</t>
  </si>
  <si>
    <t>Nepal</t>
  </si>
  <si>
    <t>Madagascar</t>
  </si>
  <si>
    <t>Ivory Coast</t>
  </si>
  <si>
    <t>Venezuela</t>
  </si>
  <si>
    <t>Cameroon</t>
  </si>
  <si>
    <t>Niger</t>
  </si>
  <si>
    <t>Australia</t>
  </si>
  <si>
    <t>North Korea</t>
  </si>
  <si>
    <t>Taiwan</t>
  </si>
  <si>
    <t>Mali</t>
  </si>
  <si>
    <t>Burkina Faso</t>
  </si>
  <si>
    <t>Syria</t>
  </si>
  <si>
    <t>Sri Lanka</t>
  </si>
  <si>
    <t>Malawi</t>
  </si>
  <si>
    <t>Zambia</t>
  </si>
  <si>
    <t>Romania</t>
  </si>
  <si>
    <t>Chile</t>
  </si>
  <si>
    <t>Kazakhstan</t>
  </si>
  <si>
    <t>Chad</t>
  </si>
  <si>
    <t>Ecuador</t>
  </si>
  <si>
    <t>Somalia</t>
  </si>
  <si>
    <t>Guatemala</t>
  </si>
  <si>
    <t>Senegal</t>
  </si>
  <si>
    <t>Netherlands</t>
  </si>
  <si>
    <t>Cambodia</t>
  </si>
  <si>
    <t>Zimbabwe</t>
  </si>
  <si>
    <t>Guinea</t>
  </si>
  <si>
    <t>Rwanda</t>
  </si>
  <si>
    <t>Benin</t>
  </si>
  <si>
    <t>Burundi</t>
  </si>
  <si>
    <t>Tunisia</t>
  </si>
  <si>
    <t>Bolivia</t>
  </si>
  <si>
    <t>Haiti</t>
  </si>
  <si>
    <t>Belgium</t>
  </si>
  <si>
    <t>Jordan</t>
  </si>
  <si>
    <t>Dominican Republic</t>
  </si>
  <si>
    <t>Cuba</t>
  </si>
  <si>
    <t>South Sudan</t>
  </si>
  <si>
    <t>Sweden</t>
  </si>
  <si>
    <t>Honduras</t>
  </si>
  <si>
    <t>Czech Republic</t>
  </si>
  <si>
    <t>Azerbaijan</t>
  </si>
  <si>
    <t>Greece</t>
  </si>
  <si>
    <t>Papua New Guinea</t>
  </si>
  <si>
    <t>Portugal</t>
  </si>
  <si>
    <t>Hungary</t>
  </si>
  <si>
    <t>Tajikistan</t>
  </si>
  <si>
    <t>United Arab Emirates</t>
  </si>
  <si>
    <t>Belarus</t>
  </si>
  <si>
    <t>Israel</t>
  </si>
  <si>
    <t>Togo</t>
  </si>
  <si>
    <t>Austria</t>
  </si>
  <si>
    <t>Switzerland</t>
  </si>
  <si>
    <t>Sierra Leone</t>
  </si>
  <si>
    <t>Laos</t>
  </si>
  <si>
    <t>Hong Kong</t>
  </si>
  <si>
    <t>Serbia</t>
  </si>
  <si>
    <t>Nicaragua</t>
  </si>
  <si>
    <t>Libya</t>
  </si>
  <si>
    <t>Paraguay</t>
  </si>
  <si>
    <t>Kyrgyzstan</t>
  </si>
  <si>
    <t>Bulgaria</t>
  </si>
  <si>
    <t>Turkmenistan</t>
  </si>
  <si>
    <t>El Salvador</t>
  </si>
  <si>
    <t>Republic Of The Congo</t>
  </si>
  <si>
    <t>Singapore</t>
  </si>
  <si>
    <t>Denmark</t>
  </si>
  <si>
    <t>Slovakia</t>
  </si>
  <si>
    <t>Central African Republic</t>
  </si>
  <si>
    <t>Finland</t>
  </si>
  <si>
    <t>Norway</t>
  </si>
  <si>
    <t>Liberia</t>
  </si>
  <si>
    <t>Palestine</t>
  </si>
  <si>
    <t>Lebanon</t>
  </si>
  <si>
    <t>New Zealand</t>
  </si>
  <si>
    <t>Costa Rica</t>
  </si>
  <si>
    <t>Ireland</t>
  </si>
  <si>
    <t>Mauritania</t>
  </si>
  <si>
    <t>Oman</t>
  </si>
  <si>
    <t>Panama</t>
  </si>
  <si>
    <t>Kuwait</t>
  </si>
  <si>
    <t>Croatia</t>
  </si>
  <si>
    <t>Eritrea</t>
  </si>
  <si>
    <t>Mongolia</t>
  </si>
  <si>
    <t>Moldova</t>
  </si>
  <si>
    <t>Uruguay</t>
  </si>
  <si>
    <t>Puerto Rico</t>
  </si>
  <si>
    <t>Bosnia And Herzegovina</t>
  </si>
  <si>
    <t>Albania</t>
  </si>
  <si>
    <t>Jamaica</t>
  </si>
  <si>
    <t>Armenia</t>
  </si>
  <si>
    <t>Gambia</t>
  </si>
  <si>
    <t>Lithuania</t>
  </si>
  <si>
    <t>Qatar</t>
  </si>
  <si>
    <t>Botswana</t>
  </si>
  <si>
    <t>Namibia</t>
  </si>
  <si>
    <t>Gabon</t>
  </si>
  <si>
    <t>Lesotho</t>
  </si>
  <si>
    <t>Guinea Bissau</t>
  </si>
  <si>
    <t>Slovenia</t>
  </si>
  <si>
    <t>North Macedonia</t>
  </si>
  <si>
    <t>Latvia</t>
  </si>
  <si>
    <t>Equatorial Guinea</t>
  </si>
  <si>
    <t>Trinidad And Tobago</t>
  </si>
  <si>
    <t>Bahrain</t>
  </si>
  <si>
    <t>Timor Leste</t>
  </si>
  <si>
    <t>Estonia</t>
  </si>
  <si>
    <t>Mauritius</t>
  </si>
  <si>
    <t>Cyprus</t>
  </si>
  <si>
    <t>Eswatini</t>
  </si>
  <si>
    <t>Djibouti</t>
  </si>
  <si>
    <t>Reunion</t>
  </si>
  <si>
    <t>Fiji</t>
  </si>
  <si>
    <t>Comoros</t>
  </si>
  <si>
    <t>Guyana</t>
  </si>
  <si>
    <t>Bhutan</t>
  </si>
  <si>
    <t>Solomon Islands</t>
  </si>
  <si>
    <t>Luxembourg</t>
  </si>
  <si>
    <t>Montenegro</t>
  </si>
  <si>
    <t>Suriname</t>
  </si>
  <si>
    <t>Cape Verde</t>
  </si>
  <si>
    <t>Western Sahara</t>
  </si>
  <si>
    <t>Malta</t>
  </si>
  <si>
    <t>Maldives</t>
  </si>
  <si>
    <t>Brunei</t>
  </si>
  <si>
    <t>Bahamas</t>
  </si>
  <si>
    <t>Belize</t>
  </si>
  <si>
    <t>Guadeloupe</t>
  </si>
  <si>
    <t>Iceland</t>
  </si>
  <si>
    <t>Martinique</t>
  </si>
  <si>
    <t>Mayotte</t>
  </si>
  <si>
    <t>Vanuatu</t>
  </si>
  <si>
    <t>French Guiana</t>
  </si>
  <si>
    <t>Barbados</t>
  </si>
  <si>
    <t>Sao Tome And Principe</t>
  </si>
  <si>
    <t>Samoa</t>
  </si>
  <si>
    <t>Saint Lucia</t>
  </si>
  <si>
    <t>Kiribati</t>
  </si>
  <si>
    <t>Grenada</t>
  </si>
  <si>
    <t>Micronesia</t>
  </si>
  <si>
    <t>Tonga</t>
  </si>
  <si>
    <t>Seychelles</t>
  </si>
  <si>
    <t>Saint Vincent And The Grenadines</t>
  </si>
  <si>
    <t>Antigua And Barbuda</t>
  </si>
  <si>
    <t>Andorra</t>
  </si>
  <si>
    <t>Dominica</t>
  </si>
  <si>
    <t>Greenland</t>
  </si>
  <si>
    <t>Saint Kitts And Nevis</t>
  </si>
  <si>
    <t>Marshall Islands</t>
  </si>
  <si>
    <t>Liechtenstein</t>
  </si>
  <si>
    <t>Monaco</t>
  </si>
  <si>
    <t>San Marino</t>
  </si>
  <si>
    <t>Palau</t>
  </si>
  <si>
    <t>Nauru</t>
  </si>
  <si>
    <t>Tuvalu</t>
  </si>
  <si>
    <t>Vatican City</t>
  </si>
  <si>
    <t>INVESTMENT POOLS</t>
  </si>
  <si>
    <t>DAILY INTEREST</t>
  </si>
  <si>
    <t>DAILY RATE</t>
  </si>
  <si>
    <t xml:space="preserve"> - Investment Pools</t>
  </si>
  <si>
    <t xml:space="preserve"> - Discount Notes</t>
  </si>
  <si>
    <t xml:space="preserve"> - Return</t>
  </si>
  <si>
    <t xml:space="preserve"> - Treasury Notes</t>
  </si>
  <si>
    <t xml:space="preserve"> - Benford's Law</t>
  </si>
  <si>
    <t xml:space="preserve"> - Resorting</t>
  </si>
  <si>
    <t xml:space="preserve"> - Collateral</t>
  </si>
  <si>
    <t xml:space="preserve"> - VLOOKUP</t>
  </si>
  <si>
    <t xml:space="preserve"> - SUMPRODUCT</t>
  </si>
  <si>
    <t xml:space="preserve"> - Data Validation</t>
  </si>
  <si>
    <t xml:space="preserve"> - INDEX &amp; MATCH</t>
  </si>
  <si>
    <t xml:space="preserve"> - TEXT</t>
  </si>
  <si>
    <t xml:space="preserve"> - IF</t>
  </si>
  <si>
    <t xml:space="preserve"> - Conditional Formatting</t>
  </si>
  <si>
    <t xml:space="preserve"> - Pivot Table</t>
  </si>
  <si>
    <t xml:space="preserve"> - Comparing</t>
  </si>
  <si>
    <t>Rev. 07/17/2023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</si>
</sst>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4">
    <numFmt numFmtId="8" formatCode="&quot;$&quot;#,##0.00_);[Red]\(&quot;$&quot;#,##0.00\)"/>
    <numFmt numFmtId="44" formatCode="_(&quot;$&quot;* #,##0.00_);_(&quot;$&quot;* \(#,##0.00\);_(&quot;$&quot;* &quot;-&quot;??_);_(@_)"/>
    <numFmt numFmtId="43" formatCode="_(* #,##0.00_);_(* \(#,##0.00\);_(* &quot;-&quot;??_);_(@_)"/>
    <numFmt numFmtId="164" formatCode="mm/dd/yy;@"/>
    <numFmt numFmtId="165" formatCode="0.000%"/>
    <numFmt numFmtId="166" formatCode="0.0000%"/>
    <numFmt numFmtId="167" formatCode="0.0000"/>
    <numFmt numFmtId="168" formatCode="0.0000000000"/>
    <numFmt numFmtId="169" formatCode="#,##0.00000000"/>
    <numFmt numFmtId="170" formatCode="m/d/yy;@"/>
    <numFmt numFmtId="171" formatCode="#,##0.00000"/>
    <numFmt numFmtId="172" formatCode="_(* #,##0_);_(* \(#,##0\);_(* &quot;-&quot;??_);_(@_)"/>
    <numFmt numFmtId="173" formatCode="_(&quot;$&quot;* #,##0_);_(&quot;$&quot;* \(#,##0\);_(&quot;$&quot;* &quot;-&quot;??_);_(@_)"/>
    <numFmt numFmtId="174" formatCode="0.0%"/>
  </numFmts>
  <fonts count="51" x14ac:knownFonts="1">
    <font>
      <sz val="11"/>
      <color theme="1"/>
      <name val="Calibri"/>
      <family val="2"/>
      <scheme val="minor"/>
    </font>
    <font>
      <b/>
      <sz val="18"/>
      <color theme="1"/>
      <name val="Calibri"/>
      <family val="2"/>
      <scheme val="minor"/>
    </font>
    <font>
      <b/>
      <sz val="14"/>
      <color theme="1"/>
      <name val="Calibri"/>
      <family val="2"/>
      <scheme val="minor"/>
    </font>
    <font>
      <sz val="12"/>
      <color theme="1"/>
      <name val="Calibri"/>
      <family val="2"/>
      <scheme val="minor"/>
    </font>
    <font>
      <b/>
      <sz val="12"/>
      <color theme="1"/>
      <name val="Calibri"/>
      <family val="2"/>
      <scheme val="minor"/>
    </font>
    <font>
      <sz val="14"/>
      <color theme="1"/>
      <name val="Calibri"/>
      <family val="2"/>
      <scheme val="minor"/>
    </font>
    <font>
      <b/>
      <sz val="11"/>
      <color theme="1"/>
      <name val="Calibri"/>
      <family val="2"/>
      <scheme val="minor"/>
    </font>
    <font>
      <b/>
      <sz val="16"/>
      <color indexed="8"/>
      <name val="Calibri"/>
      <family val="2"/>
    </font>
    <font>
      <sz val="12"/>
      <color indexed="8"/>
      <name val="Calibri"/>
      <family val="2"/>
    </font>
    <font>
      <b/>
      <sz val="12"/>
      <color indexed="8"/>
      <name val="Calibri"/>
      <family val="2"/>
    </font>
    <font>
      <sz val="16"/>
      <color theme="1"/>
      <name val="Calibri"/>
      <family val="2"/>
      <scheme val="minor"/>
    </font>
    <font>
      <b/>
      <sz val="14"/>
      <color indexed="8"/>
      <name val="Calibri"/>
      <family val="2"/>
    </font>
    <font>
      <b/>
      <sz val="12"/>
      <name val="Arial"/>
      <family val="2"/>
    </font>
    <font>
      <b/>
      <sz val="14"/>
      <name val="Arial"/>
      <family val="2"/>
    </font>
    <font>
      <sz val="10"/>
      <name val="Arial"/>
      <family val="2"/>
    </font>
    <font>
      <sz val="10"/>
      <color theme="1"/>
      <name val="Arial"/>
      <family val="2"/>
    </font>
    <font>
      <b/>
      <sz val="18"/>
      <color indexed="8"/>
      <name val="Calibri"/>
      <family val="2"/>
    </font>
    <font>
      <b/>
      <sz val="12"/>
      <color theme="1"/>
      <name val="Arial"/>
      <family val="2"/>
    </font>
    <font>
      <sz val="11"/>
      <color theme="8"/>
      <name val="Calibri"/>
      <family val="2"/>
      <scheme val="minor"/>
    </font>
    <font>
      <sz val="14"/>
      <color indexed="8"/>
      <name val="Calibri"/>
      <family val="2"/>
    </font>
    <font>
      <b/>
      <sz val="16"/>
      <color theme="1"/>
      <name val="Calibri"/>
      <family val="2"/>
      <scheme val="minor"/>
    </font>
    <font>
      <b/>
      <sz val="11"/>
      <name val="Calibri"/>
      <family val="2"/>
    </font>
    <font>
      <b/>
      <sz val="11"/>
      <color indexed="8"/>
      <name val="Calibri"/>
      <family val="2"/>
    </font>
    <font>
      <b/>
      <sz val="11"/>
      <color indexed="18"/>
      <name val="Calibri"/>
      <family val="2"/>
    </font>
    <font>
      <sz val="11"/>
      <color indexed="10"/>
      <name val="Calibri"/>
      <family val="2"/>
    </font>
    <font>
      <b/>
      <u/>
      <sz val="14"/>
      <color indexed="8"/>
      <name val="Calibri"/>
      <family val="2"/>
    </font>
    <font>
      <sz val="12"/>
      <color indexed="56"/>
      <name val="Calibri"/>
      <family val="2"/>
    </font>
    <font>
      <b/>
      <sz val="12"/>
      <name val="Calibri"/>
      <family val="2"/>
    </font>
    <font>
      <sz val="12"/>
      <name val="Calibri"/>
      <family val="2"/>
    </font>
    <font>
      <b/>
      <sz val="12"/>
      <color indexed="9"/>
      <name val="Arial"/>
      <family val="2"/>
    </font>
    <font>
      <sz val="12"/>
      <color indexed="8"/>
      <name val="Arial"/>
      <family val="2"/>
    </font>
    <font>
      <b/>
      <sz val="12"/>
      <color indexed="8"/>
      <name val="Arial"/>
      <family val="2"/>
    </font>
    <font>
      <b/>
      <sz val="18"/>
      <name val="Calibri"/>
      <family val="2"/>
    </font>
    <font>
      <sz val="11"/>
      <color indexed="8"/>
      <name val="Calibri"/>
      <family val="2"/>
    </font>
    <font>
      <b/>
      <sz val="12"/>
      <name val="Calibri"/>
      <family val="2"/>
      <scheme val="minor"/>
    </font>
    <font>
      <sz val="12"/>
      <color indexed="56"/>
      <name val="Calibri"/>
      <family val="2"/>
      <scheme val="minor"/>
    </font>
    <font>
      <sz val="12"/>
      <name val="Calibri"/>
      <family val="2"/>
      <scheme val="minor"/>
    </font>
    <font>
      <b/>
      <sz val="8"/>
      <color indexed="81"/>
      <name val="Tahoma"/>
      <family val="2"/>
    </font>
    <font>
      <b/>
      <sz val="18"/>
      <color indexed="8"/>
      <name val="Calibri"/>
      <family val="2"/>
      <scheme val="minor"/>
    </font>
    <font>
      <sz val="12"/>
      <color indexed="8"/>
      <name val="Calibri"/>
      <family val="2"/>
      <scheme val="minor"/>
    </font>
    <font>
      <b/>
      <sz val="12"/>
      <color rgb="FF0070C0"/>
      <name val="Calibri"/>
      <family val="2"/>
      <scheme val="minor"/>
    </font>
    <font>
      <b/>
      <sz val="12"/>
      <color indexed="8"/>
      <name val="Calibri"/>
      <family val="2"/>
      <scheme val="minor"/>
    </font>
    <font>
      <b/>
      <sz val="14"/>
      <color rgb="FF0070C0"/>
      <name val="Calibri"/>
      <family val="2"/>
      <scheme val="minor"/>
    </font>
    <font>
      <b/>
      <sz val="11"/>
      <color indexed="8"/>
      <name val="Arial"/>
      <family val="2"/>
    </font>
    <font>
      <sz val="10"/>
      <color indexed="8"/>
      <name val="Arial"/>
      <family val="2"/>
    </font>
    <font>
      <b/>
      <sz val="9"/>
      <color indexed="8"/>
      <name val="Arial"/>
      <family val="2"/>
    </font>
    <font>
      <sz val="9"/>
      <color indexed="8"/>
      <name val="Arial"/>
      <family val="2"/>
    </font>
    <font>
      <b/>
      <sz val="11"/>
      <color theme="4" tint="-0.499984740745262"/>
      <name val="Calibri"/>
      <family val="2"/>
      <scheme val="minor"/>
    </font>
    <font>
      <u/>
      <sz val="18"/>
      <color theme="1"/>
      <name val="Calibri"/>
      <family val="2"/>
      <scheme val="minor"/>
    </font>
    <font>
      <sz val="18"/>
      <color theme="1"/>
      <name val="Calibri"/>
      <family val="2"/>
      <scheme val="minor"/>
    </font>
    <font>
      <sz val="8"/>
      <name val="Calibri"/>
      <family val="2"/>
      <scheme val="minor"/>
    </font>
  </fonts>
  <fills count="27">
    <fill>
      <patternFill patternType="none"/>
    </fill>
    <fill>
      <patternFill patternType="gray125"/>
    </fill>
    <fill>
      <patternFill patternType="solid">
        <fgColor theme="0" tint="-4.9989318521683403E-2"/>
        <bgColor indexed="64"/>
      </patternFill>
    </fill>
    <fill>
      <patternFill patternType="solid">
        <fgColor theme="6" tint="0.79998168889431442"/>
        <bgColor indexed="64"/>
      </patternFill>
    </fill>
    <fill>
      <patternFill patternType="solid">
        <fgColor indexed="42"/>
        <bgColor indexed="64"/>
      </patternFill>
    </fill>
    <fill>
      <patternFill patternType="solid">
        <fgColor theme="8" tint="0.79998168889431442"/>
        <bgColor indexed="64"/>
      </patternFill>
    </fill>
    <fill>
      <patternFill patternType="solid">
        <fgColor theme="7" tint="0.79998168889431442"/>
        <bgColor indexed="64"/>
      </patternFill>
    </fill>
    <fill>
      <patternFill patternType="solid">
        <fgColor indexed="9"/>
        <bgColor indexed="64"/>
      </patternFill>
    </fill>
    <fill>
      <patternFill patternType="solid">
        <fgColor indexed="54"/>
        <bgColor indexed="64"/>
      </patternFill>
    </fill>
    <fill>
      <patternFill patternType="solid">
        <fgColor indexed="22"/>
        <bgColor indexed="64"/>
      </patternFill>
    </fill>
    <fill>
      <patternFill patternType="solid">
        <fgColor indexed="13"/>
        <bgColor indexed="64"/>
      </patternFill>
    </fill>
    <fill>
      <patternFill patternType="solid">
        <fgColor indexed="44"/>
        <bgColor indexed="64"/>
      </patternFill>
    </fill>
    <fill>
      <patternFill patternType="solid">
        <fgColor theme="0"/>
        <bgColor indexed="64"/>
      </patternFill>
    </fill>
    <fill>
      <patternFill patternType="solid">
        <fgColor indexed="11"/>
        <bgColor indexed="64"/>
      </patternFill>
    </fill>
    <fill>
      <patternFill patternType="solid">
        <fgColor indexed="29"/>
        <bgColor indexed="64"/>
      </patternFill>
    </fill>
    <fill>
      <patternFill patternType="solid">
        <fgColor theme="5" tint="0.79998168889431442"/>
        <bgColor indexed="64"/>
      </patternFill>
    </fill>
    <fill>
      <patternFill patternType="solid">
        <fgColor theme="6" tint="0.59996337778862885"/>
        <bgColor indexed="64"/>
      </patternFill>
    </fill>
    <fill>
      <patternFill patternType="solid">
        <fgColor theme="4" tint="0.79998168889431442"/>
        <bgColor indexed="64"/>
      </patternFill>
    </fill>
    <fill>
      <patternFill patternType="solid">
        <fgColor theme="3" tint="0.79998168889431442"/>
        <bgColor indexed="64"/>
      </patternFill>
    </fill>
    <fill>
      <patternFill patternType="solid">
        <fgColor indexed="27"/>
        <bgColor indexed="64"/>
      </patternFill>
    </fill>
    <fill>
      <patternFill patternType="solid">
        <fgColor indexed="26"/>
        <bgColor indexed="64"/>
      </patternFill>
    </fill>
    <fill>
      <patternFill patternType="solid">
        <fgColor indexed="22"/>
        <bgColor indexed="0"/>
      </patternFill>
    </fill>
    <fill>
      <patternFill patternType="solid">
        <fgColor rgb="FFFFFFCC"/>
        <bgColor indexed="64"/>
      </patternFill>
    </fill>
    <fill>
      <patternFill patternType="solid">
        <fgColor theme="9" tint="0.39994506668294322"/>
        <bgColor indexed="64"/>
      </patternFill>
    </fill>
    <fill>
      <patternFill patternType="solid">
        <fgColor rgb="FFFFFF99"/>
        <bgColor indexed="64"/>
      </patternFill>
    </fill>
    <fill>
      <patternFill patternType="solid">
        <fgColor rgb="FFFF7C80"/>
        <bgColor indexed="64"/>
      </patternFill>
    </fill>
    <fill>
      <patternFill patternType="solid">
        <fgColor theme="7" tint="0.59996337778862885"/>
        <bgColor indexed="64"/>
      </patternFill>
    </fill>
  </fills>
  <borders count="41">
    <border>
      <left/>
      <right/>
      <top/>
      <bottom/>
      <diagonal/>
    </border>
    <border>
      <left/>
      <right/>
      <top/>
      <bottom style="medium">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bottom style="thin">
        <color indexed="64"/>
      </bottom>
      <diagonal/>
    </border>
    <border>
      <left style="thin">
        <color auto="1"/>
      </left>
      <right style="thin">
        <color auto="1"/>
      </right>
      <top/>
      <bottom/>
      <diagonal/>
    </border>
    <border>
      <left style="medium">
        <color indexed="64"/>
      </left>
      <right/>
      <top/>
      <bottom/>
      <diagonal/>
    </border>
    <border>
      <left/>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
      <left/>
      <right/>
      <top style="thin">
        <color indexed="64"/>
      </top>
      <bottom/>
      <diagonal/>
    </border>
    <border>
      <left/>
      <right style="medium">
        <color indexed="64"/>
      </right>
      <top/>
      <bottom/>
      <diagonal/>
    </border>
    <border>
      <left style="thin">
        <color indexed="64"/>
      </left>
      <right style="thin">
        <color indexed="64"/>
      </right>
      <top/>
      <bottom style="thin">
        <color indexed="64"/>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auto="1"/>
      </left>
      <right style="medium">
        <color auto="1"/>
      </right>
      <top style="medium">
        <color auto="1"/>
      </top>
      <bottom/>
      <diagonal/>
    </border>
    <border>
      <left style="medium">
        <color auto="1"/>
      </left>
      <right style="medium">
        <color auto="1"/>
      </right>
      <top/>
      <bottom/>
      <diagonal/>
    </border>
    <border>
      <left style="medium">
        <color auto="1"/>
      </left>
      <right style="medium">
        <color auto="1"/>
      </right>
      <top/>
      <bottom style="medium">
        <color auto="1"/>
      </bottom>
      <diagonal/>
    </border>
    <border>
      <left/>
      <right/>
      <top style="medium">
        <color indexed="64"/>
      </top>
      <bottom/>
      <diagonal/>
    </border>
    <border>
      <left/>
      <right style="thin">
        <color auto="1"/>
      </right>
      <top style="thin">
        <color auto="1"/>
      </top>
      <bottom/>
      <diagonal/>
    </border>
    <border>
      <left/>
      <right style="thin">
        <color indexed="64"/>
      </right>
      <top style="medium">
        <color indexed="64"/>
      </top>
      <bottom/>
      <diagonal/>
    </border>
    <border>
      <left style="thin">
        <color indexed="64"/>
      </left>
      <right/>
      <top style="medium">
        <color indexed="64"/>
      </top>
      <bottom/>
      <diagonal/>
    </border>
    <border>
      <left style="thin">
        <color auto="1"/>
      </left>
      <right/>
      <top style="thin">
        <color auto="1"/>
      </top>
      <bottom/>
      <diagonal/>
    </border>
    <border>
      <left style="thin">
        <color auto="1"/>
      </left>
      <right style="thin">
        <color auto="1"/>
      </right>
      <top style="thin">
        <color auto="1"/>
      </top>
      <bottom/>
      <diagonal/>
    </border>
    <border>
      <left style="thick">
        <color auto="1"/>
      </left>
      <right/>
      <top style="thick">
        <color auto="1"/>
      </top>
      <bottom/>
      <diagonal/>
    </border>
    <border>
      <left/>
      <right/>
      <top style="thick">
        <color auto="1"/>
      </top>
      <bottom/>
      <diagonal/>
    </border>
    <border>
      <left/>
      <right style="thick">
        <color auto="1"/>
      </right>
      <top style="thick">
        <color auto="1"/>
      </top>
      <bottom/>
      <diagonal/>
    </border>
    <border>
      <left style="thick">
        <color auto="1"/>
      </left>
      <right/>
      <top/>
      <bottom/>
      <diagonal/>
    </border>
    <border>
      <left/>
      <right style="thick">
        <color auto="1"/>
      </right>
      <top/>
      <bottom/>
      <diagonal/>
    </border>
    <border>
      <left style="thick">
        <color auto="1"/>
      </left>
      <right/>
      <top/>
      <bottom style="thick">
        <color auto="1"/>
      </bottom>
      <diagonal/>
    </border>
    <border>
      <left/>
      <right/>
      <top/>
      <bottom style="thick">
        <color auto="1"/>
      </bottom>
      <diagonal/>
    </border>
    <border>
      <left/>
      <right style="thick">
        <color auto="1"/>
      </right>
      <top/>
      <bottom style="thick">
        <color auto="1"/>
      </bottom>
      <diagonal/>
    </border>
    <border>
      <left style="thin">
        <color indexed="8"/>
      </left>
      <right style="thin">
        <color indexed="8"/>
      </right>
      <top style="thin">
        <color indexed="8"/>
      </top>
      <bottom style="thin">
        <color indexed="8"/>
      </bottom>
      <diagonal/>
    </border>
    <border>
      <left style="thin">
        <color indexed="21"/>
      </left>
      <right style="thin">
        <color indexed="21"/>
      </right>
      <top style="thin">
        <color indexed="21"/>
      </top>
      <bottom style="thin">
        <color indexed="2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right/>
      <top style="medium">
        <color auto="1"/>
      </top>
      <bottom style="medium">
        <color auto="1"/>
      </bottom>
      <diagonal/>
    </border>
  </borders>
  <cellStyleXfs count="4">
    <xf numFmtId="0" fontId="0" fillId="0" borderId="0"/>
    <xf numFmtId="43" fontId="33" fillId="0" borderId="0" applyFont="0" applyFill="0" applyBorder="0" applyAlignment="0" applyProtection="0"/>
    <xf numFmtId="44" fontId="33" fillId="0" borderId="0" applyFont="0" applyFill="0" applyBorder="0" applyAlignment="0" applyProtection="0"/>
    <xf numFmtId="0" fontId="44" fillId="0" borderId="0"/>
  </cellStyleXfs>
  <cellXfs count="376">
    <xf numFmtId="0" fontId="0" fillId="0" borderId="0" xfId="0"/>
    <xf numFmtId="0" fontId="1" fillId="0" borderId="0" xfId="0" applyFont="1"/>
    <xf numFmtId="0" fontId="2" fillId="0" borderId="0" xfId="0" applyFont="1"/>
    <xf numFmtId="0" fontId="3" fillId="0" borderId="0" xfId="0" applyFont="1"/>
    <xf numFmtId="0" fontId="4" fillId="0" borderId="0" xfId="0" applyFont="1"/>
    <xf numFmtId="0" fontId="3" fillId="0" borderId="1" xfId="0" applyFont="1" applyBorder="1" applyAlignment="1">
      <alignment horizontal="center"/>
    </xf>
    <xf numFmtId="4" fontId="3" fillId="0" borderId="1" xfId="0" applyNumberFormat="1" applyFont="1" applyBorder="1"/>
    <xf numFmtId="4" fontId="3" fillId="0" borderId="1" xfId="0" applyNumberFormat="1" applyFont="1" applyBorder="1" applyAlignment="1">
      <alignment horizontal="center"/>
    </xf>
    <xf numFmtId="0" fontId="3" fillId="0" borderId="0" xfId="0" applyFont="1" applyAlignment="1">
      <alignment horizontal="center"/>
    </xf>
    <xf numFmtId="10" fontId="3" fillId="0" borderId="0" xfId="0" applyNumberFormat="1" applyFont="1"/>
    <xf numFmtId="4" fontId="3" fillId="0" borderId="0" xfId="0" applyNumberFormat="1" applyFont="1"/>
    <xf numFmtId="4" fontId="4" fillId="0" borderId="0" xfId="0" applyNumberFormat="1" applyFont="1"/>
    <xf numFmtId="10" fontId="4" fillId="0" borderId="0" xfId="0" applyNumberFormat="1" applyFont="1"/>
    <xf numFmtId="0" fontId="3" fillId="0" borderId="0" xfId="0" quotePrefix="1" applyFont="1" applyAlignment="1">
      <alignment horizontal="center"/>
    </xf>
    <xf numFmtId="8" fontId="3" fillId="0" borderId="0" xfId="0" applyNumberFormat="1" applyFont="1"/>
    <xf numFmtId="4" fontId="3" fillId="0" borderId="0" xfId="0" applyNumberFormat="1" applyFont="1" applyAlignment="1">
      <alignment horizontal="center"/>
    </xf>
    <xf numFmtId="10" fontId="3" fillId="0" borderId="0" xfId="0" applyNumberFormat="1" applyFont="1" applyAlignment="1">
      <alignment horizontal="center"/>
    </xf>
    <xf numFmtId="40" fontId="4" fillId="0" borderId="2" xfId="0" applyNumberFormat="1" applyFont="1" applyBorder="1"/>
    <xf numFmtId="8" fontId="4" fillId="0" borderId="0" xfId="0" applyNumberFormat="1" applyFont="1"/>
    <xf numFmtId="0" fontId="4" fillId="0" borderId="2" xfId="0" applyFont="1" applyBorder="1"/>
    <xf numFmtId="8" fontId="4" fillId="0" borderId="2" xfId="0" applyNumberFormat="1" applyFont="1" applyBorder="1"/>
    <xf numFmtId="10" fontId="4" fillId="0" borderId="2" xfId="0" applyNumberFormat="1" applyFont="1" applyBorder="1"/>
    <xf numFmtId="4" fontId="4" fillId="0" borderId="2" xfId="0" applyNumberFormat="1" applyFont="1" applyBorder="1"/>
    <xf numFmtId="10" fontId="3" fillId="0" borderId="1" xfId="0" applyNumberFormat="1" applyFont="1" applyBorder="1" applyAlignment="1">
      <alignment horizontal="center"/>
    </xf>
    <xf numFmtId="10" fontId="3" fillId="0" borderId="0" xfId="0" quotePrefix="1" applyNumberFormat="1" applyFont="1" applyAlignment="1">
      <alignment horizontal="center"/>
    </xf>
    <xf numFmtId="164" fontId="3" fillId="0" borderId="0" xfId="0" applyNumberFormat="1" applyFont="1"/>
    <xf numFmtId="0" fontId="3" fillId="0" borderId="2" xfId="0" applyFont="1" applyBorder="1" applyAlignment="1">
      <alignment horizontal="center"/>
    </xf>
    <xf numFmtId="0" fontId="2" fillId="2" borderId="2" xfId="0" applyFont="1" applyFill="1" applyBorder="1" applyAlignment="1">
      <alignment horizontal="center"/>
    </xf>
    <xf numFmtId="14" fontId="3" fillId="0" borderId="0" xfId="0" applyNumberFormat="1" applyFont="1"/>
    <xf numFmtId="0" fontId="4" fillId="2" borderId="3" xfId="0" applyFont="1" applyFill="1" applyBorder="1" applyAlignment="1">
      <alignment horizontal="center"/>
    </xf>
    <xf numFmtId="0" fontId="3" fillId="2" borderId="4" xfId="0" applyFont="1" applyFill="1" applyBorder="1"/>
    <xf numFmtId="2" fontId="4" fillId="0" borderId="2" xfId="0" applyNumberFormat="1" applyFont="1" applyBorder="1"/>
    <xf numFmtId="2" fontId="3" fillId="0" borderId="0" xfId="0" applyNumberFormat="1" applyFont="1"/>
    <xf numFmtId="0" fontId="3" fillId="0" borderId="5" xfId="0" applyFont="1" applyBorder="1" applyAlignment="1">
      <alignment horizontal="center"/>
    </xf>
    <xf numFmtId="1" fontId="3" fillId="0" borderId="0" xfId="0" applyNumberFormat="1" applyFont="1"/>
    <xf numFmtId="10" fontId="4" fillId="0" borderId="6" xfId="0" applyNumberFormat="1" applyFont="1" applyBorder="1"/>
    <xf numFmtId="0" fontId="5" fillId="0" borderId="0" xfId="0" applyFont="1"/>
    <xf numFmtId="0" fontId="7" fillId="0" borderId="7" xfId="0" applyFont="1" applyBorder="1" applyAlignment="1">
      <alignment horizontal="left"/>
    </xf>
    <xf numFmtId="0" fontId="0" fillId="0" borderId="0" xfId="0" applyAlignment="1">
      <alignment horizontal="center"/>
    </xf>
    <xf numFmtId="0" fontId="8" fillId="0" borderId="7" xfId="0" applyFont="1" applyBorder="1" applyAlignment="1">
      <alignment horizontal="center"/>
    </xf>
    <xf numFmtId="165" fontId="9" fillId="0" borderId="0" xfId="0" applyNumberFormat="1" applyFont="1"/>
    <xf numFmtId="166" fontId="3" fillId="0" borderId="0" xfId="0" applyNumberFormat="1" applyFont="1" applyAlignment="1">
      <alignment horizontal="center"/>
    </xf>
    <xf numFmtId="0" fontId="3" fillId="0" borderId="7" xfId="0" applyFont="1" applyBorder="1" applyAlignment="1">
      <alignment horizontal="center"/>
    </xf>
    <xf numFmtId="166" fontId="9" fillId="0" borderId="0" xfId="0" applyNumberFormat="1" applyFont="1" applyAlignment="1">
      <alignment horizontal="center"/>
    </xf>
    <xf numFmtId="0" fontId="3" fillId="0" borderId="9" xfId="0" applyFont="1" applyBorder="1"/>
    <xf numFmtId="165" fontId="3" fillId="0" borderId="10" xfId="0" applyNumberFormat="1" applyFont="1" applyBorder="1" applyAlignment="1">
      <alignment horizontal="center"/>
    </xf>
    <xf numFmtId="0" fontId="3" fillId="0" borderId="11" xfId="0" applyFont="1" applyBorder="1"/>
    <xf numFmtId="8" fontId="3" fillId="0" borderId="5" xfId="0" applyNumberFormat="1" applyFont="1" applyBorder="1"/>
    <xf numFmtId="165" fontId="3" fillId="0" borderId="12" xfId="0" applyNumberFormat="1" applyFont="1" applyBorder="1" applyAlignment="1">
      <alignment horizontal="center"/>
    </xf>
    <xf numFmtId="0" fontId="2" fillId="0" borderId="3" xfId="0" applyFont="1" applyBorder="1"/>
    <xf numFmtId="0" fontId="2" fillId="0" borderId="8" xfId="0" applyFont="1" applyBorder="1" applyAlignment="1">
      <alignment horizontal="center"/>
    </xf>
    <xf numFmtId="0" fontId="2" fillId="0" borderId="4" xfId="0" applyFont="1" applyBorder="1" applyAlignment="1">
      <alignment horizontal="center"/>
    </xf>
    <xf numFmtId="1" fontId="3" fillId="0" borderId="0" xfId="0" applyNumberFormat="1" applyFont="1" applyAlignment="1">
      <alignment horizontal="center"/>
    </xf>
    <xf numFmtId="165" fontId="4" fillId="0" borderId="0" xfId="0" applyNumberFormat="1" applyFont="1"/>
    <xf numFmtId="0" fontId="10" fillId="0" borderId="0" xfId="0" applyFont="1"/>
    <xf numFmtId="0" fontId="2" fillId="3" borderId="2" xfId="0" applyFont="1" applyFill="1" applyBorder="1"/>
    <xf numFmtId="0" fontId="5" fillId="0" borderId="2" xfId="0" applyFont="1" applyBorder="1"/>
    <xf numFmtId="0" fontId="7" fillId="0" borderId="0" xfId="0" applyFont="1"/>
    <xf numFmtId="0" fontId="11" fillId="0" borderId="0" xfId="0" applyFont="1"/>
    <xf numFmtId="0" fontId="6" fillId="0" borderId="0" xfId="0" applyFont="1" applyAlignment="1">
      <alignment horizontal="center" vertical="center"/>
    </xf>
    <xf numFmtId="0" fontId="4" fillId="0" borderId="13" xfId="0" applyFont="1" applyBorder="1" applyAlignment="1">
      <alignment horizontal="center"/>
    </xf>
    <xf numFmtId="4" fontId="4" fillId="0" borderId="13" xfId="0" applyNumberFormat="1" applyFont="1" applyBorder="1"/>
    <xf numFmtId="0" fontId="13" fillId="0" borderId="0" xfId="0" applyFont="1"/>
    <xf numFmtId="0" fontId="14" fillId="0" borderId="0" xfId="0" applyFont="1" applyAlignment="1">
      <alignment horizontal="center"/>
    </xf>
    <xf numFmtId="0" fontId="15" fillId="0" borderId="0" xfId="0" applyFont="1" applyAlignment="1">
      <alignment horizontal="center"/>
    </xf>
    <xf numFmtId="0" fontId="14" fillId="0" borderId="0" xfId="0" applyFont="1"/>
    <xf numFmtId="0" fontId="0" fillId="0" borderId="0" xfId="0" applyAlignment="1">
      <alignment horizontal="center" wrapText="1"/>
    </xf>
    <xf numFmtId="0" fontId="16" fillId="0" borderId="0" xfId="0" applyFont="1"/>
    <xf numFmtId="0" fontId="12" fillId="0" borderId="0" xfId="0" applyFont="1"/>
    <xf numFmtId="0" fontId="2" fillId="0" borderId="0" xfId="0" applyFont="1" applyAlignment="1">
      <alignment horizontal="center"/>
    </xf>
    <xf numFmtId="0" fontId="17" fillId="0" borderId="0" xfId="0" applyFont="1" applyAlignment="1">
      <alignment horizontal="center"/>
    </xf>
    <xf numFmtId="0" fontId="2" fillId="0" borderId="0" xfId="0" applyFont="1" applyAlignment="1">
      <alignment horizontal="center" vertical="center"/>
    </xf>
    <xf numFmtId="0" fontId="3" fillId="0" borderId="5" xfId="0" applyFont="1" applyBorder="1"/>
    <xf numFmtId="2" fontId="3" fillId="0" borderId="0" xfId="0" applyNumberFormat="1" applyFont="1" applyAlignment="1">
      <alignment horizontal="center"/>
    </xf>
    <xf numFmtId="2" fontId="3" fillId="0" borderId="0" xfId="0" quotePrefix="1" applyNumberFormat="1" applyFont="1" applyAlignment="1">
      <alignment horizontal="center"/>
    </xf>
    <xf numFmtId="167" fontId="3" fillId="0" borderId="0" xfId="0" applyNumberFormat="1" applyFont="1" applyAlignment="1">
      <alignment horizontal="center"/>
    </xf>
    <xf numFmtId="0" fontId="12" fillId="2" borderId="2" xfId="0" applyFont="1" applyFill="1" applyBorder="1" applyAlignment="1">
      <alignment horizontal="center"/>
    </xf>
    <xf numFmtId="0" fontId="2" fillId="2" borderId="2" xfId="0" applyFont="1" applyFill="1" applyBorder="1"/>
    <xf numFmtId="0" fontId="2" fillId="2" borderId="3" xfId="0" applyFont="1" applyFill="1" applyBorder="1"/>
    <xf numFmtId="0" fontId="0" fillId="2" borderId="4" xfId="0" applyFill="1" applyBorder="1"/>
    <xf numFmtId="0" fontId="5" fillId="2" borderId="4" xfId="0" applyFont="1" applyFill="1" applyBorder="1"/>
    <xf numFmtId="4" fontId="3" fillId="0" borderId="0" xfId="0" applyNumberFormat="1" applyFont="1" applyAlignment="1">
      <alignment horizontal="right"/>
    </xf>
    <xf numFmtId="3" fontId="3" fillId="0" borderId="0" xfId="0" applyNumberFormat="1" applyFont="1" applyAlignment="1">
      <alignment horizontal="center"/>
    </xf>
    <xf numFmtId="0" fontId="11" fillId="2" borderId="2" xfId="0" applyFont="1" applyFill="1" applyBorder="1" applyAlignment="1">
      <alignment horizontal="center"/>
    </xf>
    <xf numFmtId="0" fontId="11" fillId="0" borderId="14" xfId="0" applyFont="1" applyBorder="1"/>
    <xf numFmtId="4" fontId="11" fillId="0" borderId="14" xfId="0" applyNumberFormat="1" applyFont="1" applyBorder="1" applyAlignment="1">
      <alignment horizontal="right"/>
    </xf>
    <xf numFmtId="3" fontId="11" fillId="0" borderId="14" xfId="0" applyNumberFormat="1" applyFont="1" applyBorder="1" applyAlignment="1">
      <alignment horizontal="right"/>
    </xf>
    <xf numFmtId="2" fontId="11" fillId="0" borderId="14" xfId="0" applyNumberFormat="1" applyFont="1" applyBorder="1"/>
    <xf numFmtId="4" fontId="0" fillId="0" borderId="0" xfId="0" applyNumberFormat="1"/>
    <xf numFmtId="10" fontId="0" fillId="0" borderId="0" xfId="0" applyNumberFormat="1" applyAlignment="1">
      <alignment horizontal="center"/>
    </xf>
    <xf numFmtId="14" fontId="0" fillId="0" borderId="0" xfId="0" applyNumberFormat="1" applyAlignment="1">
      <alignment horizontal="center"/>
    </xf>
    <xf numFmtId="0" fontId="4" fillId="0" borderId="5" xfId="0" applyFont="1" applyBorder="1" applyAlignment="1">
      <alignment horizontal="center"/>
    </xf>
    <xf numFmtId="0" fontId="4" fillId="0" borderId="14" xfId="0" applyFont="1" applyBorder="1" applyAlignment="1">
      <alignment horizontal="center"/>
    </xf>
    <xf numFmtId="168" fontId="4" fillId="0" borderId="14" xfId="0" applyNumberFormat="1" applyFont="1" applyBorder="1" applyAlignment="1">
      <alignment horizontal="center"/>
    </xf>
    <xf numFmtId="10" fontId="4" fillId="0" borderId="14" xfId="0" applyNumberFormat="1" applyFont="1" applyBorder="1" applyAlignment="1">
      <alignment horizontal="center"/>
    </xf>
    <xf numFmtId="0" fontId="4" fillId="0" borderId="14" xfId="0" applyFont="1" applyBorder="1"/>
    <xf numFmtId="4" fontId="4" fillId="0" borderId="14" xfId="0" applyNumberFormat="1" applyFont="1" applyBorder="1"/>
    <xf numFmtId="0" fontId="1" fillId="0" borderId="0" xfId="0" applyFont="1" applyAlignment="1">
      <alignment horizontal="left"/>
    </xf>
    <xf numFmtId="14" fontId="18" fillId="0" borderId="0" xfId="0" applyNumberFormat="1" applyFont="1" applyAlignment="1">
      <alignment horizontal="center"/>
    </xf>
    <xf numFmtId="0" fontId="18" fillId="0" borderId="0" xfId="0" applyFont="1" applyAlignment="1">
      <alignment horizontal="center"/>
    </xf>
    <xf numFmtId="4" fontId="18" fillId="0" borderId="0" xfId="0" applyNumberFormat="1" applyFont="1"/>
    <xf numFmtId="0" fontId="19" fillId="0" borderId="0" xfId="0" applyFont="1"/>
    <xf numFmtId="0" fontId="19" fillId="0" borderId="7" xfId="0" applyFont="1" applyBorder="1" applyAlignment="1">
      <alignment horizontal="center"/>
    </xf>
    <xf numFmtId="0" fontId="19" fillId="0" borderId="0" xfId="0" applyFont="1" applyAlignment="1">
      <alignment horizontal="center"/>
    </xf>
    <xf numFmtId="0" fontId="19" fillId="0" borderId="15" xfId="0" applyFont="1" applyBorder="1" applyAlignment="1">
      <alignment horizontal="center"/>
    </xf>
    <xf numFmtId="0" fontId="19" fillId="0" borderId="16" xfId="0" applyFont="1" applyBorder="1"/>
    <xf numFmtId="0" fontId="19" fillId="0" borderId="16" xfId="0" quotePrefix="1" applyFont="1" applyBorder="1" applyAlignment="1">
      <alignment horizontal="center"/>
    </xf>
    <xf numFmtId="0" fontId="19" fillId="0" borderId="16" xfId="0" quotePrefix="1" applyFont="1" applyBorder="1"/>
    <xf numFmtId="0" fontId="19" fillId="0" borderId="2" xfId="0" applyFont="1" applyBorder="1"/>
    <xf numFmtId="0" fontId="19" fillId="0" borderId="2" xfId="0" quotePrefix="1" applyFont="1" applyBorder="1" applyAlignment="1">
      <alignment horizontal="center"/>
    </xf>
    <xf numFmtId="0" fontId="19" fillId="0" borderId="2" xfId="0" quotePrefix="1" applyFont="1" applyBorder="1" applyAlignment="1">
      <alignment horizontal="left"/>
    </xf>
    <xf numFmtId="0" fontId="19" fillId="0" borderId="2" xfId="0" applyFont="1" applyBorder="1" applyAlignment="1">
      <alignment horizontal="left"/>
    </xf>
    <xf numFmtId="0" fontId="19" fillId="0" borderId="2" xfId="0" applyFont="1" applyBorder="1" applyAlignment="1">
      <alignment horizontal="center"/>
    </xf>
    <xf numFmtId="0" fontId="19" fillId="0" borderId="2" xfId="0" quotePrefix="1" applyFont="1" applyBorder="1"/>
    <xf numFmtId="0" fontId="19" fillId="0" borderId="17" xfId="0" applyFont="1" applyBorder="1" applyAlignment="1">
      <alignment horizontal="center"/>
    </xf>
    <xf numFmtId="0" fontId="19" fillId="0" borderId="1" xfId="0" applyFont="1" applyBorder="1" applyAlignment="1">
      <alignment horizontal="center"/>
    </xf>
    <xf numFmtId="0" fontId="19" fillId="0" borderId="18" xfId="0" applyFont="1" applyBorder="1" applyAlignment="1">
      <alignment horizontal="center"/>
    </xf>
    <xf numFmtId="0" fontId="5" fillId="0" borderId="0" xfId="0" applyFont="1" applyAlignment="1">
      <alignment horizontal="center"/>
    </xf>
    <xf numFmtId="0" fontId="11" fillId="2" borderId="13" xfId="0" applyFont="1" applyFill="1" applyBorder="1" applyAlignment="1">
      <alignment horizontal="center"/>
    </xf>
    <xf numFmtId="0" fontId="11" fillId="2" borderId="13" xfId="0" applyFont="1" applyFill="1" applyBorder="1"/>
    <xf numFmtId="0" fontId="20" fillId="0" borderId="0" xfId="0" applyFont="1"/>
    <xf numFmtId="0" fontId="2" fillId="5" borderId="19" xfId="0" applyFont="1" applyFill="1" applyBorder="1"/>
    <xf numFmtId="0" fontId="2" fillId="5" borderId="20" xfId="0" applyFont="1" applyFill="1" applyBorder="1"/>
    <xf numFmtId="0" fontId="2" fillId="5" borderId="21" xfId="0" applyFont="1" applyFill="1" applyBorder="1"/>
    <xf numFmtId="0" fontId="11" fillId="6" borderId="19" xfId="0" applyFont="1" applyFill="1" applyBorder="1"/>
    <xf numFmtId="0" fontId="11" fillId="6" borderId="20" xfId="0" applyFont="1" applyFill="1" applyBorder="1"/>
    <xf numFmtId="0" fontId="2" fillId="6" borderId="20" xfId="0" applyFont="1" applyFill="1" applyBorder="1"/>
    <xf numFmtId="0" fontId="2" fillId="6" borderId="21" xfId="0" applyFont="1" applyFill="1" applyBorder="1"/>
    <xf numFmtId="0" fontId="21" fillId="4" borderId="13" xfId="0" applyFont="1" applyFill="1" applyBorder="1" applyAlignment="1">
      <alignment vertical="center" wrapText="1"/>
    </xf>
    <xf numFmtId="0" fontId="22" fillId="6" borderId="20" xfId="0" applyFont="1" applyFill="1" applyBorder="1"/>
    <xf numFmtId="0" fontId="6" fillId="6" borderId="20" xfId="0" applyFont="1" applyFill="1" applyBorder="1"/>
    <xf numFmtId="0" fontId="9" fillId="0" borderId="0" xfId="0" applyFont="1"/>
    <xf numFmtId="0" fontId="22" fillId="0" borderId="0" xfId="0" applyFont="1"/>
    <xf numFmtId="4" fontId="22" fillId="0" borderId="0" xfId="0" applyNumberFormat="1" applyFont="1"/>
    <xf numFmtId="0" fontId="0" fillId="0" borderId="0" xfId="0" quotePrefix="1"/>
    <xf numFmtId="0" fontId="9" fillId="0" borderId="2" xfId="0" quotePrefix="1" applyFont="1" applyBorder="1" applyAlignment="1">
      <alignment horizontal="center"/>
    </xf>
    <xf numFmtId="0" fontId="9" fillId="0" borderId="2" xfId="0" applyFont="1" applyBorder="1" applyAlignment="1">
      <alignment horizontal="center"/>
    </xf>
    <xf numFmtId="166" fontId="9" fillId="0" borderId="2" xfId="0" applyNumberFormat="1" applyFont="1" applyBorder="1" applyAlignment="1">
      <alignment horizontal="center"/>
    </xf>
    <xf numFmtId="0" fontId="0" fillId="0" borderId="0" xfId="0" applyAlignment="1">
      <alignment horizontal="right"/>
    </xf>
    <xf numFmtId="10" fontId="0" fillId="0" borderId="0" xfId="0" applyNumberFormat="1"/>
    <xf numFmtId="14" fontId="0" fillId="0" borderId="0" xfId="0" applyNumberFormat="1"/>
    <xf numFmtId="0" fontId="22" fillId="11" borderId="2" xfId="0" applyFont="1" applyFill="1" applyBorder="1" applyAlignment="1">
      <alignment horizontal="center"/>
    </xf>
    <xf numFmtId="0" fontId="22" fillId="0" borderId="22" xfId="0" applyFont="1" applyBorder="1"/>
    <xf numFmtId="4" fontId="22" fillId="0" borderId="22" xfId="0" applyNumberFormat="1" applyFont="1" applyBorder="1"/>
    <xf numFmtId="0" fontId="0" fillId="0" borderId="22" xfId="0" applyBorder="1"/>
    <xf numFmtId="0" fontId="23" fillId="0" borderId="2" xfId="0" applyFont="1" applyBorder="1"/>
    <xf numFmtId="165" fontId="22" fillId="0" borderId="2" xfId="0" applyNumberFormat="1" applyFont="1" applyBorder="1"/>
    <xf numFmtId="0" fontId="24" fillId="0" borderId="0" xfId="0" applyFont="1"/>
    <xf numFmtId="0" fontId="22" fillId="12" borderId="2" xfId="0" applyFont="1" applyFill="1" applyBorder="1" applyAlignment="1">
      <alignment horizontal="center"/>
    </xf>
    <xf numFmtId="0" fontId="11" fillId="0" borderId="2" xfId="0" applyFont="1" applyBorder="1"/>
    <xf numFmtId="0" fontId="25" fillId="0" borderId="0" xfId="0" applyFont="1"/>
    <xf numFmtId="0" fontId="5" fillId="0" borderId="0" xfId="0" applyFont="1" applyAlignment="1">
      <alignment horizontal="right"/>
    </xf>
    <xf numFmtId="0" fontId="25" fillId="0" borderId="0" xfId="0" applyFont="1" applyAlignment="1">
      <alignment horizontal="left"/>
    </xf>
    <xf numFmtId="0" fontId="5" fillId="0" borderId="0" xfId="0" applyFont="1" applyAlignment="1">
      <alignment horizontal="left"/>
    </xf>
    <xf numFmtId="4" fontId="9" fillId="0" borderId="0" xfId="0" applyNumberFormat="1" applyFont="1"/>
    <xf numFmtId="14" fontId="9" fillId="0" borderId="0" xfId="0" applyNumberFormat="1" applyFont="1"/>
    <xf numFmtId="166" fontId="9" fillId="0" borderId="0" xfId="0" applyNumberFormat="1" applyFont="1"/>
    <xf numFmtId="4" fontId="26" fillId="0" borderId="0" xfId="0" applyNumberFormat="1" applyFont="1"/>
    <xf numFmtId="0" fontId="3" fillId="0" borderId="0" xfId="0" quotePrefix="1" applyFont="1"/>
    <xf numFmtId="169" fontId="26" fillId="0" borderId="0" xfId="0" applyNumberFormat="1" applyFont="1"/>
    <xf numFmtId="166" fontId="26" fillId="0" borderId="0" xfId="0" applyNumberFormat="1" applyFont="1"/>
    <xf numFmtId="0" fontId="27" fillId="0" borderId="0" xfId="0" applyFont="1" applyAlignment="1">
      <alignment horizontal="left" indent="1"/>
    </xf>
    <xf numFmtId="0" fontId="28" fillId="0" borderId="0" xfId="0" applyFont="1" applyAlignment="1">
      <alignment horizontal="left" indent="1"/>
    </xf>
    <xf numFmtId="0" fontId="28" fillId="0" borderId="0" xfId="0" applyFont="1"/>
    <xf numFmtId="0" fontId="28" fillId="7" borderId="0" xfId="0" applyFont="1" applyFill="1" applyAlignment="1">
      <alignment horizontal="left" indent="1"/>
    </xf>
    <xf numFmtId="0" fontId="28" fillId="8" borderId="2" xfId="0" applyFont="1" applyFill="1" applyBorder="1" applyAlignment="1">
      <alignment horizontal="center" wrapText="1"/>
    </xf>
    <xf numFmtId="0" fontId="28" fillId="7" borderId="2" xfId="0" applyFont="1" applyFill="1" applyBorder="1" applyAlignment="1">
      <alignment vertical="top" wrapText="1" indent="1"/>
    </xf>
    <xf numFmtId="0" fontId="28" fillId="9" borderId="2" xfId="0" applyFont="1" applyFill="1" applyBorder="1" applyAlignment="1">
      <alignment vertical="top" wrapText="1" indent="1"/>
    </xf>
    <xf numFmtId="0" fontId="27" fillId="10" borderId="2" xfId="0" applyFont="1" applyFill="1" applyBorder="1" applyAlignment="1">
      <alignment vertical="top" wrapText="1" indent="1"/>
    </xf>
    <xf numFmtId="170" fontId="3" fillId="0" borderId="0" xfId="0" applyNumberFormat="1" applyFont="1"/>
    <xf numFmtId="171" fontId="9" fillId="0" borderId="0" xfId="0" applyNumberFormat="1" applyFont="1"/>
    <xf numFmtId="0" fontId="11" fillId="11" borderId="2" xfId="0" applyFont="1" applyFill="1" applyBorder="1"/>
    <xf numFmtId="0" fontId="9" fillId="0" borderId="0" xfId="0" applyFont="1" applyAlignment="1">
      <alignment horizontal="right"/>
    </xf>
    <xf numFmtId="4" fontId="3" fillId="0" borderId="0" xfId="0" quotePrefix="1" applyNumberFormat="1" applyFont="1"/>
    <xf numFmtId="0" fontId="3" fillId="7" borderId="0" xfId="0" applyFont="1" applyFill="1" applyAlignment="1">
      <alignment horizontal="left" indent="1"/>
    </xf>
    <xf numFmtId="0" fontId="29" fillId="8" borderId="2" xfId="0" applyFont="1" applyFill="1" applyBorder="1" applyAlignment="1">
      <alignment horizontal="center" wrapText="1"/>
    </xf>
    <xf numFmtId="0" fontId="30" fillId="7" borderId="2" xfId="0" applyFont="1" applyFill="1" applyBorder="1" applyAlignment="1">
      <alignment vertical="top" wrapText="1" indent="1"/>
    </xf>
    <xf numFmtId="0" fontId="31" fillId="10" borderId="2" xfId="0" applyFont="1" applyFill="1" applyBorder="1" applyAlignment="1">
      <alignment vertical="top" wrapText="1" indent="1"/>
    </xf>
    <xf numFmtId="0" fontId="30" fillId="9" borderId="2" xfId="0" applyFont="1" applyFill="1" applyBorder="1" applyAlignment="1">
      <alignment vertical="top" wrapText="1" indent="1"/>
    </xf>
    <xf numFmtId="0" fontId="30" fillId="0" borderId="2" xfId="0" applyFont="1" applyBorder="1" applyAlignment="1">
      <alignment vertical="top" wrapText="1" indent="1"/>
    </xf>
    <xf numFmtId="0" fontId="32" fillId="0" borderId="0" xfId="0" applyFont="1"/>
    <xf numFmtId="0" fontId="3" fillId="0" borderId="23" xfId="0" applyFont="1" applyBorder="1"/>
    <xf numFmtId="0" fontId="3" fillId="0" borderId="23" xfId="0" quotePrefix="1" applyFont="1" applyBorder="1"/>
    <xf numFmtId="0" fontId="3" fillId="0" borderId="10" xfId="0" applyFont="1" applyBorder="1"/>
    <xf numFmtId="0" fontId="3" fillId="0" borderId="12" xfId="0" applyFont="1" applyBorder="1"/>
    <xf numFmtId="172" fontId="9" fillId="0" borderId="0" xfId="1" applyNumberFormat="1" applyFont="1"/>
    <xf numFmtId="172" fontId="28" fillId="0" borderId="0" xfId="1" applyNumberFormat="1" applyFont="1"/>
    <xf numFmtId="173" fontId="28" fillId="0" borderId="0" xfId="2" applyNumberFormat="1" applyFont="1"/>
    <xf numFmtId="0" fontId="28" fillId="0" borderId="0" xfId="0" applyFont="1" applyAlignment="1">
      <alignment horizontal="right"/>
    </xf>
    <xf numFmtId="172" fontId="28" fillId="0" borderId="0" xfId="1" applyNumberFormat="1" applyFont="1" applyAlignment="1">
      <alignment horizontal="right"/>
    </xf>
    <xf numFmtId="172" fontId="28" fillId="0" borderId="22" xfId="1" applyNumberFormat="1" applyFont="1" applyBorder="1"/>
    <xf numFmtId="172" fontId="28" fillId="0" borderId="24" xfId="1" applyNumberFormat="1" applyFont="1" applyBorder="1"/>
    <xf numFmtId="172" fontId="28" fillId="0" borderId="0" xfId="1" applyNumberFormat="1" applyFont="1" applyBorder="1"/>
    <xf numFmtId="172" fontId="28" fillId="0" borderId="10" xfId="1" applyNumberFormat="1" applyFont="1" applyBorder="1"/>
    <xf numFmtId="172" fontId="28" fillId="0" borderId="5" xfId="1" applyNumberFormat="1" applyFont="1" applyBorder="1"/>
    <xf numFmtId="172" fontId="28" fillId="0" borderId="12" xfId="1" applyNumberFormat="1" applyFont="1" applyBorder="1"/>
    <xf numFmtId="172" fontId="27" fillId="13" borderId="13" xfId="1" applyNumberFormat="1" applyFont="1" applyFill="1" applyBorder="1" applyAlignment="1">
      <alignment horizontal="center"/>
    </xf>
    <xf numFmtId="172" fontId="27" fillId="14" borderId="13" xfId="1" applyNumberFormat="1" applyFont="1" applyFill="1" applyBorder="1" applyAlignment="1">
      <alignment horizontal="center"/>
    </xf>
    <xf numFmtId="172" fontId="27" fillId="11" borderId="13" xfId="1" applyNumberFormat="1" applyFont="1" applyFill="1" applyBorder="1" applyAlignment="1">
      <alignment horizontal="center"/>
    </xf>
    <xf numFmtId="172" fontId="28" fillId="4" borderId="25" xfId="1" applyNumberFormat="1" applyFont="1" applyFill="1" applyBorder="1"/>
    <xf numFmtId="172" fontId="28" fillId="4" borderId="9" xfId="1" applyNumberFormat="1" applyFont="1" applyFill="1" applyBorder="1"/>
    <xf numFmtId="172" fontId="28" fillId="4" borderId="11" xfId="1" applyNumberFormat="1" applyFont="1" applyFill="1" applyBorder="1"/>
    <xf numFmtId="172" fontId="8" fillId="0" borderId="0" xfId="1" applyNumberFormat="1" applyFont="1"/>
    <xf numFmtId="0" fontId="9" fillId="4" borderId="2" xfId="0" applyFont="1" applyFill="1" applyBorder="1"/>
    <xf numFmtId="0" fontId="3" fillId="4" borderId="2" xfId="0" applyFont="1" applyFill="1" applyBorder="1"/>
    <xf numFmtId="0" fontId="3" fillId="0" borderId="2" xfId="0" applyFont="1" applyBorder="1"/>
    <xf numFmtId="0" fontId="9" fillId="0" borderId="3" xfId="0" applyFont="1" applyBorder="1"/>
    <xf numFmtId="0" fontId="9" fillId="0" borderId="8" xfId="0" quotePrefix="1" applyFont="1" applyBorder="1"/>
    <xf numFmtId="0" fontId="9" fillId="0" borderId="4" xfId="0" applyFont="1" applyBorder="1"/>
    <xf numFmtId="0" fontId="4" fillId="16" borderId="3" xfId="0" applyFont="1" applyFill="1" applyBorder="1" applyAlignment="1">
      <alignment horizontal="center"/>
    </xf>
    <xf numFmtId="0" fontId="4" fillId="16" borderId="8" xfId="0" applyFont="1" applyFill="1" applyBorder="1" applyAlignment="1">
      <alignment horizontal="center"/>
    </xf>
    <xf numFmtId="0" fontId="4" fillId="16" borderId="4" xfId="0" applyFont="1" applyFill="1" applyBorder="1" applyAlignment="1">
      <alignment horizontal="center"/>
    </xf>
    <xf numFmtId="0" fontId="4" fillId="15" borderId="2" xfId="0" applyFont="1" applyFill="1" applyBorder="1" applyAlignment="1">
      <alignment horizontal="center"/>
    </xf>
    <xf numFmtId="0" fontId="3" fillId="0" borderId="6" xfId="0" applyFont="1" applyBorder="1"/>
    <xf numFmtId="0" fontId="3" fillId="0" borderId="16" xfId="0" applyFont="1" applyBorder="1"/>
    <xf numFmtId="0" fontId="3" fillId="0" borderId="26" xfId="0" applyFont="1" applyBorder="1"/>
    <xf numFmtId="0" fontId="3" fillId="0" borderId="14" xfId="0" applyFont="1" applyBorder="1"/>
    <xf numFmtId="0" fontId="35" fillId="0" borderId="13" xfId="0" applyFont="1" applyBorder="1"/>
    <xf numFmtId="49" fontId="34" fillId="0" borderId="1" xfId="0" applyNumberFormat="1" applyFont="1" applyBorder="1" applyAlignment="1">
      <alignment horizontal="center"/>
    </xf>
    <xf numFmtId="0" fontId="34" fillId="0" borderId="1" xfId="0" applyFont="1" applyBorder="1" applyAlignment="1">
      <alignment horizontal="center"/>
    </xf>
    <xf numFmtId="0" fontId="3" fillId="17" borderId="23" xfId="0" applyFont="1" applyFill="1" applyBorder="1"/>
    <xf numFmtId="0" fontId="3" fillId="17" borderId="10" xfId="0" applyFont="1" applyFill="1" applyBorder="1"/>
    <xf numFmtId="0" fontId="3" fillId="17" borderId="12" xfId="0" applyFont="1" applyFill="1" applyBorder="1"/>
    <xf numFmtId="0" fontId="34" fillId="17" borderId="13" xfId="0" applyFont="1" applyFill="1" applyBorder="1"/>
    <xf numFmtId="0" fontId="4" fillId="0" borderId="3" xfId="0" applyFont="1" applyBorder="1" applyAlignment="1">
      <alignment horizontal="center"/>
    </xf>
    <xf numFmtId="0" fontId="4" fillId="0" borderId="4" xfId="0" applyFont="1" applyBorder="1" applyAlignment="1">
      <alignment horizontal="center"/>
    </xf>
    <xf numFmtId="4" fontId="3" fillId="0" borderId="23" xfId="0" applyNumberFormat="1" applyFont="1" applyBorder="1"/>
    <xf numFmtId="4" fontId="3" fillId="0" borderId="10" xfId="0" applyNumberFormat="1" applyFont="1" applyBorder="1"/>
    <xf numFmtId="4" fontId="3" fillId="0" borderId="12" xfId="0" applyNumberFormat="1" applyFont="1" applyBorder="1"/>
    <xf numFmtId="0" fontId="3" fillId="0" borderId="3" xfId="0" applyFont="1" applyBorder="1"/>
    <xf numFmtId="4" fontId="4" fillId="17" borderId="2" xfId="0" applyNumberFormat="1" applyFont="1" applyFill="1" applyBorder="1"/>
    <xf numFmtId="3" fontId="4" fillId="17" borderId="2" xfId="0" applyNumberFormat="1" applyFont="1" applyFill="1" applyBorder="1"/>
    <xf numFmtId="0" fontId="4" fillId="0" borderId="0" xfId="0" applyFont="1" applyAlignment="1">
      <alignment horizontal="center"/>
    </xf>
    <xf numFmtId="3" fontId="4" fillId="0" borderId="0" xfId="0" applyNumberFormat="1" applyFont="1"/>
    <xf numFmtId="0" fontId="4" fillId="0" borderId="2" xfId="0" applyFont="1" applyBorder="1" applyAlignment="1">
      <alignment horizontal="center"/>
    </xf>
    <xf numFmtId="0" fontId="3" fillId="0" borderId="27" xfId="0" applyFont="1" applyBorder="1"/>
    <xf numFmtId="0" fontId="3" fillId="17" borderId="2" xfId="0" applyFont="1" applyFill="1" applyBorder="1"/>
    <xf numFmtId="0" fontId="3" fillId="0" borderId="29" xfId="0" applyFont="1" applyBorder="1"/>
    <xf numFmtId="0" fontId="3" fillId="0" borderId="30" xfId="0" applyFont="1" applyBorder="1"/>
    <xf numFmtId="0" fontId="3" fillId="0" borderId="31" xfId="0" applyFont="1" applyBorder="1"/>
    <xf numFmtId="0" fontId="3" fillId="0" borderId="32" xfId="0" applyFont="1" applyBorder="1"/>
    <xf numFmtId="0" fontId="3" fillId="0" borderId="33" xfId="0" applyFont="1" applyBorder="1"/>
    <xf numFmtId="0" fontId="3" fillId="0" borderId="34" xfId="0" applyFont="1" applyBorder="1"/>
    <xf numFmtId="0" fontId="3" fillId="0" borderId="35" xfId="0" applyFont="1" applyBorder="1"/>
    <xf numFmtId="0" fontId="4" fillId="0" borderId="32" xfId="0" applyFont="1" applyBorder="1" applyAlignment="1">
      <alignment horizontal="center"/>
    </xf>
    <xf numFmtId="4" fontId="3" fillId="0" borderId="32" xfId="0" applyNumberFormat="1" applyFont="1" applyBorder="1"/>
    <xf numFmtId="4" fontId="4" fillId="0" borderId="32" xfId="0" applyNumberFormat="1" applyFont="1" applyBorder="1"/>
    <xf numFmtId="3" fontId="4" fillId="0" borderId="32" xfId="0" applyNumberFormat="1" applyFont="1" applyBorder="1"/>
    <xf numFmtId="0" fontId="4" fillId="0" borderId="28" xfId="0" applyFont="1" applyBorder="1"/>
    <xf numFmtId="0" fontId="3" fillId="0" borderId="3" xfId="0" applyFont="1" applyBorder="1" applyAlignment="1">
      <alignment horizontal="center"/>
    </xf>
    <xf numFmtId="0" fontId="3" fillId="0" borderId="4" xfId="0" applyFont="1" applyBorder="1" applyAlignment="1">
      <alignment horizontal="center"/>
    </xf>
    <xf numFmtId="0" fontId="3" fillId="0" borderId="32" xfId="0" applyFont="1" applyBorder="1" applyAlignment="1">
      <alignment horizontal="center"/>
    </xf>
    <xf numFmtId="0" fontId="3" fillId="0" borderId="31" xfId="0" applyFont="1" applyBorder="1" applyAlignment="1">
      <alignment horizontal="center"/>
    </xf>
    <xf numFmtId="0" fontId="3" fillId="0" borderId="9" xfId="0" applyFont="1" applyBorder="1" applyAlignment="1">
      <alignment horizontal="center"/>
    </xf>
    <xf numFmtId="0" fontId="3" fillId="0" borderId="10" xfId="0" applyFont="1" applyBorder="1" applyAlignment="1">
      <alignment horizontal="center"/>
    </xf>
    <xf numFmtId="4" fontId="3" fillId="0" borderId="10" xfId="0" applyNumberFormat="1" applyFont="1" applyBorder="1" applyAlignment="1">
      <alignment horizontal="center"/>
    </xf>
    <xf numFmtId="0" fontId="3" fillId="0" borderId="11" xfId="0" applyFont="1" applyBorder="1" applyAlignment="1">
      <alignment horizontal="center"/>
    </xf>
    <xf numFmtId="0" fontId="3" fillId="0" borderId="12" xfId="0" applyFont="1" applyBorder="1" applyAlignment="1">
      <alignment horizontal="center"/>
    </xf>
    <xf numFmtId="4" fontId="3" fillId="0" borderId="12" xfId="0" applyNumberFormat="1" applyFont="1" applyBorder="1" applyAlignment="1">
      <alignment horizontal="center"/>
    </xf>
    <xf numFmtId="4" fontId="3" fillId="0" borderId="4" xfId="0" applyNumberFormat="1" applyFont="1" applyBorder="1" applyAlignment="1">
      <alignment horizontal="center"/>
    </xf>
    <xf numFmtId="0" fontId="4" fillId="17" borderId="2" xfId="0" applyFont="1" applyFill="1" applyBorder="1" applyAlignment="1">
      <alignment horizontal="center"/>
    </xf>
    <xf numFmtId="0" fontId="4" fillId="0" borderId="31" xfId="0" applyFont="1" applyBorder="1" applyAlignment="1">
      <alignment horizontal="center"/>
    </xf>
    <xf numFmtId="4" fontId="4" fillId="17" borderId="2" xfId="0" applyNumberFormat="1" applyFont="1" applyFill="1" applyBorder="1" applyAlignment="1">
      <alignment horizontal="center"/>
    </xf>
    <xf numFmtId="0" fontId="34" fillId="0" borderId="0" xfId="0" applyFont="1"/>
    <xf numFmtId="0" fontId="36" fillId="0" borderId="0" xfId="0" applyFont="1"/>
    <xf numFmtId="49" fontId="36" fillId="0" borderId="0" xfId="0" applyNumberFormat="1" applyFont="1" applyAlignment="1">
      <alignment horizontal="center"/>
    </xf>
    <xf numFmtId="0" fontId="36" fillId="0" borderId="0" xfId="0" applyFont="1" applyAlignment="1">
      <alignment horizontal="center"/>
    </xf>
    <xf numFmtId="0" fontId="4" fillId="0" borderId="0" xfId="0" applyFont="1" applyAlignment="1">
      <alignment horizontal="left" vertical="center" indent="1"/>
    </xf>
    <xf numFmtId="0" fontId="2" fillId="18" borderId="3" xfId="0" applyFont="1" applyFill="1" applyBorder="1"/>
    <xf numFmtId="0" fontId="2" fillId="18" borderId="8" xfId="0" applyFont="1" applyFill="1" applyBorder="1"/>
    <xf numFmtId="0" fontId="2" fillId="18" borderId="4" xfId="0" applyFont="1" applyFill="1" applyBorder="1"/>
    <xf numFmtId="0" fontId="2" fillId="18" borderId="2" xfId="0" applyFont="1" applyFill="1" applyBorder="1"/>
    <xf numFmtId="0" fontId="38" fillId="0" borderId="0" xfId="0" applyFont="1"/>
    <xf numFmtId="0" fontId="36" fillId="0" borderId="0" xfId="0" quotePrefix="1" applyFont="1" applyAlignment="1">
      <alignment horizontal="left"/>
    </xf>
    <xf numFmtId="0" fontId="39" fillId="0" borderId="0" xfId="0" applyFont="1" applyAlignment="1">
      <alignment horizontal="left"/>
    </xf>
    <xf numFmtId="0" fontId="36" fillId="0" borderId="26" xfId="0" applyFont="1" applyBorder="1" applyAlignment="1">
      <alignment horizontal="center"/>
    </xf>
    <xf numFmtId="0" fontId="36" fillId="0" borderId="14" xfId="0" applyFont="1" applyBorder="1" applyAlignment="1">
      <alignment horizontal="center"/>
    </xf>
    <xf numFmtId="0" fontId="36" fillId="0" borderId="9" xfId="0" applyFont="1" applyBorder="1" applyAlignment="1">
      <alignment horizontal="center"/>
    </xf>
    <xf numFmtId="0" fontId="41" fillId="0" borderId="0" xfId="0" applyFont="1"/>
    <xf numFmtId="0" fontId="4" fillId="0" borderId="27" xfId="0" applyFont="1" applyBorder="1" applyAlignment="1">
      <alignment horizontal="center"/>
    </xf>
    <xf numFmtId="0" fontId="3" fillId="0" borderId="0" xfId="0" applyFont="1" applyAlignment="1">
      <alignment horizontal="left"/>
    </xf>
    <xf numFmtId="0" fontId="40" fillId="0" borderId="0" xfId="0" applyFont="1" applyAlignment="1">
      <alignment horizontal="center" vertical="center"/>
    </xf>
    <xf numFmtId="0" fontId="3" fillId="0" borderId="0" xfId="0" quotePrefix="1" applyFont="1" applyAlignment="1">
      <alignment horizontal="left"/>
    </xf>
    <xf numFmtId="3" fontId="42" fillId="0" borderId="0" xfId="0" applyNumberFormat="1" applyFont="1" applyAlignment="1">
      <alignment horizontal="center" vertical="center"/>
    </xf>
    <xf numFmtId="3" fontId="42" fillId="0" borderId="0" xfId="0" applyNumberFormat="1" applyFont="1" applyAlignment="1">
      <alignment horizontal="center"/>
    </xf>
    <xf numFmtId="0" fontId="3" fillId="17" borderId="6" xfId="0" quotePrefix="1" applyFont="1" applyFill="1" applyBorder="1" applyAlignment="1">
      <alignment horizontal="center"/>
    </xf>
    <xf numFmtId="0" fontId="3" fillId="17" borderId="16" xfId="0" quotePrefix="1" applyFont="1" applyFill="1" applyBorder="1" applyAlignment="1">
      <alignment horizontal="center"/>
    </xf>
    <xf numFmtId="0" fontId="3" fillId="17" borderId="27" xfId="0" applyFont="1" applyFill="1" applyBorder="1"/>
    <xf numFmtId="0" fontId="3" fillId="17" borderId="6" xfId="0" applyFont="1" applyFill="1" applyBorder="1"/>
    <xf numFmtId="0" fontId="3" fillId="17" borderId="16" xfId="0" applyFont="1" applyFill="1" applyBorder="1"/>
    <xf numFmtId="0" fontId="6" fillId="17" borderId="6" xfId="0" quotePrefix="1" applyFont="1" applyFill="1" applyBorder="1"/>
    <xf numFmtId="0" fontId="6" fillId="17" borderId="16" xfId="0" quotePrefix="1" applyFont="1" applyFill="1" applyBorder="1"/>
    <xf numFmtId="0" fontId="4" fillId="0" borderId="2" xfId="0" applyFont="1" applyBorder="1" applyAlignment="1">
      <alignment horizontal="center" vertical="center"/>
    </xf>
    <xf numFmtId="14" fontId="36" fillId="0" borderId="9" xfId="0" applyNumberFormat="1" applyFont="1" applyBorder="1" applyAlignment="1">
      <alignment horizontal="center"/>
    </xf>
    <xf numFmtId="0" fontId="36" fillId="0" borderId="10" xfId="0" applyFont="1" applyBorder="1"/>
    <xf numFmtId="14" fontId="36" fillId="0" borderId="11" xfId="0" applyNumberFormat="1" applyFont="1" applyBorder="1" applyAlignment="1">
      <alignment horizontal="center"/>
    </xf>
    <xf numFmtId="0" fontId="36" fillId="0" borderId="5" xfId="0" applyFont="1" applyBorder="1" applyAlignment="1">
      <alignment horizontal="center"/>
    </xf>
    <xf numFmtId="0" fontId="36" fillId="0" borderId="5" xfId="0" quotePrefix="1" applyFont="1" applyBorder="1" applyAlignment="1">
      <alignment horizontal="left"/>
    </xf>
    <xf numFmtId="0" fontId="36" fillId="0" borderId="12" xfId="0" applyFont="1" applyBorder="1"/>
    <xf numFmtId="0" fontId="34" fillId="0" borderId="2" xfId="0" applyFont="1" applyBorder="1" applyAlignment="1">
      <alignment horizontal="center"/>
    </xf>
    <xf numFmtId="0" fontId="34" fillId="0" borderId="2" xfId="0" applyFont="1" applyBorder="1" applyAlignment="1">
      <alignment horizontal="left"/>
    </xf>
    <xf numFmtId="0" fontId="34" fillId="0" borderId="2" xfId="0" applyFont="1" applyBorder="1"/>
    <xf numFmtId="0" fontId="40" fillId="0" borderId="2" xfId="0" applyFont="1" applyBorder="1" applyAlignment="1">
      <alignment horizontal="center"/>
    </xf>
    <xf numFmtId="14" fontId="36" fillId="0" borderId="0" xfId="0" applyNumberFormat="1" applyFont="1"/>
    <xf numFmtId="14" fontId="36" fillId="0" borderId="34" xfId="0" applyNumberFormat="1" applyFont="1" applyBorder="1"/>
    <xf numFmtId="0" fontId="36" fillId="0" borderId="34" xfId="0" applyFont="1" applyBorder="1" applyAlignment="1">
      <alignment horizontal="center"/>
    </xf>
    <xf numFmtId="0" fontId="36" fillId="0" borderId="34" xfId="0" quotePrefix="1" applyFont="1" applyBorder="1" applyAlignment="1">
      <alignment horizontal="left"/>
    </xf>
    <xf numFmtId="0" fontId="36" fillId="0" borderId="34" xfId="0" applyFont="1" applyBorder="1"/>
    <xf numFmtId="0" fontId="41" fillId="0" borderId="28" xfId="0" applyFont="1" applyBorder="1"/>
    <xf numFmtId="0" fontId="36" fillId="0" borderId="23" xfId="0" applyFont="1" applyBorder="1"/>
    <xf numFmtId="0" fontId="36" fillId="0" borderId="23" xfId="0" applyFont="1" applyBorder="1" applyAlignment="1">
      <alignment horizontal="center"/>
    </xf>
    <xf numFmtId="0" fontId="36" fillId="0" borderId="10" xfId="0" applyFont="1" applyBorder="1" applyAlignment="1">
      <alignment horizontal="center"/>
    </xf>
    <xf numFmtId="0" fontId="36" fillId="0" borderId="26" xfId="0" applyFont="1" applyBorder="1"/>
    <xf numFmtId="0" fontId="34" fillId="0" borderId="9" xfId="0" applyFont="1" applyBorder="1"/>
    <xf numFmtId="0" fontId="36" fillId="0" borderId="9" xfId="0" applyFont="1" applyBorder="1"/>
    <xf numFmtId="0" fontId="36" fillId="0" borderId="11" xfId="0" applyFont="1" applyBorder="1"/>
    <xf numFmtId="0" fontId="36" fillId="0" borderId="11" xfId="0" applyFont="1" applyBorder="1" applyAlignment="1">
      <alignment horizontal="center"/>
    </xf>
    <xf numFmtId="0" fontId="36" fillId="0" borderId="12" xfId="0" applyFont="1" applyBorder="1" applyAlignment="1">
      <alignment horizontal="center"/>
    </xf>
    <xf numFmtId="0" fontId="3" fillId="12" borderId="0" xfId="0" applyFont="1" applyFill="1"/>
    <xf numFmtId="0" fontId="4" fillId="12" borderId="3" xfId="0" applyFont="1" applyFill="1" applyBorder="1"/>
    <xf numFmtId="0" fontId="12" fillId="19" borderId="2" xfId="0" applyFont="1" applyFill="1" applyBorder="1"/>
    <xf numFmtId="0" fontId="12" fillId="20" borderId="2" xfId="0" applyFont="1" applyFill="1" applyBorder="1"/>
    <xf numFmtId="0" fontId="43" fillId="0" borderId="0" xfId="0" applyFont="1"/>
    <xf numFmtId="0" fontId="45" fillId="21" borderId="36" xfId="3" applyFont="1" applyFill="1" applyBorder="1" applyAlignment="1">
      <alignment horizontal="center"/>
    </xf>
    <xf numFmtId="0" fontId="46" fillId="22" borderId="37" xfId="3" applyFont="1" applyFill="1" applyBorder="1" applyAlignment="1">
      <alignment wrapText="1"/>
    </xf>
    <xf numFmtId="0" fontId="46" fillId="0" borderId="37" xfId="3" applyFont="1" applyBorder="1" applyAlignment="1">
      <alignment wrapText="1"/>
    </xf>
    <xf numFmtId="0" fontId="46" fillId="3" borderId="37" xfId="3" applyFont="1" applyFill="1" applyBorder="1" applyAlignment="1">
      <alignment wrapText="1"/>
    </xf>
    <xf numFmtId="0" fontId="46" fillId="0" borderId="0" xfId="3" applyFont="1" applyAlignment="1">
      <alignment wrapText="1"/>
    </xf>
    <xf numFmtId="0" fontId="6" fillId="0" borderId="0" xfId="0" applyFont="1"/>
    <xf numFmtId="0" fontId="0" fillId="0" borderId="19" xfId="0" applyBorder="1"/>
    <xf numFmtId="14" fontId="0" fillId="0" borderId="19" xfId="0" applyNumberFormat="1" applyBorder="1"/>
    <xf numFmtId="0" fontId="0" fillId="0" borderId="20" xfId="0" applyBorder="1"/>
    <xf numFmtId="14" fontId="0" fillId="0" borderId="20" xfId="0" applyNumberFormat="1" applyBorder="1"/>
    <xf numFmtId="0" fontId="0" fillId="0" borderId="21" xfId="0" applyBorder="1"/>
    <xf numFmtId="14" fontId="0" fillId="0" borderId="21" xfId="0" applyNumberFormat="1" applyBorder="1"/>
    <xf numFmtId="0" fontId="0" fillId="0" borderId="7" xfId="0" applyBorder="1" applyAlignment="1">
      <alignment horizontal="center"/>
    </xf>
    <xf numFmtId="174" fontId="0" fillId="0" borderId="15" xfId="0" applyNumberFormat="1" applyBorder="1" applyAlignment="1">
      <alignment horizontal="center"/>
    </xf>
    <xf numFmtId="0" fontId="0" fillId="0" borderId="17" xfId="0" applyBorder="1" applyAlignment="1">
      <alignment horizontal="center"/>
    </xf>
    <xf numFmtId="174" fontId="0" fillId="0" borderId="18" xfId="0" applyNumberFormat="1" applyBorder="1" applyAlignment="1">
      <alignment horizontal="center"/>
    </xf>
    <xf numFmtId="0" fontId="6" fillId="0" borderId="38" xfId="0" applyFont="1" applyBorder="1" applyAlignment="1">
      <alignment horizontal="center"/>
    </xf>
    <xf numFmtId="0" fontId="6" fillId="0" borderId="39" xfId="0" applyFont="1" applyBorder="1"/>
    <xf numFmtId="174" fontId="0" fillId="0" borderId="22" xfId="0" applyNumberFormat="1" applyBorder="1" applyAlignment="1">
      <alignment horizontal="center"/>
    </xf>
    <xf numFmtId="0" fontId="0" fillId="0" borderId="22" xfId="0" applyBorder="1" applyAlignment="1">
      <alignment horizontal="center"/>
    </xf>
    <xf numFmtId="174" fontId="0" fillId="0" borderId="19" xfId="0" applyNumberFormat="1" applyBorder="1" applyAlignment="1">
      <alignment horizontal="center"/>
    </xf>
    <xf numFmtId="0" fontId="0" fillId="23" borderId="19" xfId="0" applyFill="1" applyBorder="1" applyAlignment="1">
      <alignment horizontal="center"/>
    </xf>
    <xf numFmtId="174" fontId="0" fillId="0" borderId="20" xfId="0" applyNumberFormat="1" applyBorder="1" applyAlignment="1">
      <alignment horizontal="center"/>
    </xf>
    <xf numFmtId="0" fontId="0" fillId="24" borderId="20" xfId="0" applyFill="1" applyBorder="1" applyAlignment="1">
      <alignment horizontal="center"/>
    </xf>
    <xf numFmtId="174" fontId="0" fillId="0" borderId="21" xfId="0" applyNumberFormat="1" applyBorder="1" applyAlignment="1">
      <alignment horizontal="center"/>
    </xf>
    <xf numFmtId="0" fontId="0" fillId="25" borderId="21" xfId="0" applyFill="1" applyBorder="1" applyAlignment="1">
      <alignment horizontal="center"/>
    </xf>
    <xf numFmtId="14" fontId="47" fillId="0" borderId="0" xfId="0" applyNumberFormat="1" applyFont="1"/>
    <xf numFmtId="2" fontId="3" fillId="0" borderId="0" xfId="0" applyNumberFormat="1" applyFont="1" applyAlignment="1">
      <alignment horizontal="left"/>
    </xf>
    <xf numFmtId="9" fontId="3" fillId="0" borderId="0" xfId="0" applyNumberFormat="1" applyFont="1"/>
    <xf numFmtId="166" fontId="0" fillId="0" borderId="0" xfId="0" applyNumberFormat="1"/>
    <xf numFmtId="4" fontId="0" fillId="0" borderId="1" xfId="0" applyNumberFormat="1" applyBorder="1"/>
    <xf numFmtId="166" fontId="0" fillId="0" borderId="1" xfId="0" applyNumberFormat="1" applyBorder="1"/>
    <xf numFmtId="4" fontId="6" fillId="0" borderId="0" xfId="0" applyNumberFormat="1" applyFont="1"/>
    <xf numFmtId="166" fontId="6" fillId="0" borderId="0" xfId="0" applyNumberFormat="1" applyFont="1"/>
    <xf numFmtId="10" fontId="0" fillId="0" borderId="1" xfId="0" applyNumberFormat="1" applyBorder="1"/>
    <xf numFmtId="0" fontId="6" fillId="0" borderId="1" xfId="0" applyFont="1" applyBorder="1" applyAlignment="1">
      <alignment horizontal="center"/>
    </xf>
    <xf numFmtId="10" fontId="6" fillId="0" borderId="0" xfId="0" applyNumberFormat="1" applyFont="1"/>
    <xf numFmtId="0" fontId="48" fillId="0" borderId="0" xfId="0" applyFont="1"/>
    <xf numFmtId="0" fontId="49" fillId="0" borderId="0" xfId="0" applyFont="1"/>
    <xf numFmtId="0" fontId="6" fillId="0" borderId="1" xfId="0" applyFont="1" applyBorder="1"/>
    <xf numFmtId="0" fontId="0" fillId="0" borderId="1" xfId="0" applyBorder="1"/>
    <xf numFmtId="0" fontId="6" fillId="0" borderId="40" xfId="0" applyFont="1" applyBorder="1" applyAlignment="1">
      <alignment horizontal="center"/>
    </xf>
    <xf numFmtId="0" fontId="6" fillId="0" borderId="39" xfId="0" applyFont="1" applyBorder="1" applyAlignment="1">
      <alignment horizontal="center"/>
    </xf>
    <xf numFmtId="3" fontId="0" fillId="0" borderId="0" xfId="0" applyNumberFormat="1"/>
    <xf numFmtId="0" fontId="0" fillId="0" borderId="7" xfId="0" applyBorder="1"/>
    <xf numFmtId="10" fontId="0" fillId="5" borderId="15" xfId="0" applyNumberFormat="1" applyFill="1" applyBorder="1"/>
    <xf numFmtId="10" fontId="0" fillId="26" borderId="15" xfId="0" applyNumberFormat="1" applyFill="1" applyBorder="1"/>
    <xf numFmtId="10" fontId="0" fillId="0" borderId="15" xfId="0" applyNumberFormat="1" applyBorder="1"/>
    <xf numFmtId="0" fontId="0" fillId="0" borderId="17" xfId="0" applyBorder="1"/>
    <xf numFmtId="10" fontId="0" fillId="5" borderId="18" xfId="0" applyNumberFormat="1" applyFill="1" applyBorder="1"/>
    <xf numFmtId="10" fontId="0" fillId="26" borderId="18" xfId="0" applyNumberFormat="1" applyFill="1" applyBorder="1"/>
    <xf numFmtId="10" fontId="0" fillId="0" borderId="18" xfId="0" applyNumberFormat="1" applyBorder="1"/>
    <xf numFmtId="0" fontId="20" fillId="0" borderId="0" xfId="0" applyFont="1" applyAlignment="1">
      <alignment horizontal="left"/>
    </xf>
  </cellXfs>
  <cellStyles count="4">
    <cellStyle name="Comma 2" xfId="1" xr:uid="{00000000-0005-0000-0000-000000000000}"/>
    <cellStyle name="Currency 2" xfId="2" xr:uid="{00000000-0005-0000-0000-000001000000}"/>
    <cellStyle name="Normal" xfId="0" builtinId="0"/>
    <cellStyle name="Normal_Sheet1" xfId="3" xr:uid="{00000000-0005-0000-0000-000003000000}"/>
  </cellStyles>
  <dxfs count="9">
    <dxf>
      <fill>
        <patternFill>
          <bgColor indexed="15"/>
        </patternFill>
      </fill>
    </dxf>
    <dxf>
      <fill>
        <patternFill>
          <bgColor rgb="FF92D050"/>
        </patternFill>
      </fill>
    </dxf>
    <dxf>
      <fill>
        <patternFill>
          <bgColor indexed="43"/>
        </patternFill>
      </fill>
    </dxf>
    <dxf>
      <fill>
        <patternFill>
          <bgColor rgb="FFFFFF00"/>
        </patternFill>
      </fill>
    </dxf>
    <dxf>
      <fill>
        <patternFill>
          <bgColor rgb="FFFF7C80"/>
        </patternFill>
      </fill>
    </dxf>
    <dxf>
      <fill>
        <patternFill>
          <bgColor rgb="FFFFFF99"/>
        </patternFill>
      </fill>
    </dxf>
    <dxf>
      <fill>
        <patternFill>
          <bgColor theme="9" tint="0.39994506668294322"/>
        </patternFill>
      </fill>
    </dxf>
    <dxf>
      <font>
        <b/>
        <i val="0"/>
      </font>
      <fill>
        <patternFill>
          <bgColor theme="9" tint="0.59996337778862885"/>
        </patternFill>
      </fill>
    </dxf>
    <dxf>
      <font>
        <color rgb="FF9C0006"/>
      </font>
      <fill>
        <patternFill>
          <bgColor rgb="FFFFC7CE"/>
        </patternFill>
      </fill>
    </dxf>
  </dxfs>
  <tableStyles count="0" defaultTableStyle="TableStyleMedium2" defaultPivotStyle="PivotStyleLight16"/>
  <colors>
    <mruColors>
      <color rgb="FF33CC33"/>
      <color rgb="FFFFFF99"/>
      <color rgb="FFFF7C80"/>
      <color rgb="FFFF6600"/>
      <color rgb="FFFF5050"/>
      <color rgb="FFFF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sharedStrings" Target="sharedString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col"/>
        <c:grouping val="clustered"/>
        <c:varyColors val="0"/>
        <c:ser>
          <c:idx val="0"/>
          <c:order val="0"/>
          <c:tx>
            <c:v>Area </c:v>
          </c:tx>
          <c:spPr>
            <a:solidFill>
              <a:schemeClr val="accent1"/>
            </a:solidFill>
            <a:ln>
              <a:noFill/>
            </a:ln>
            <a:effectLst/>
          </c:spPr>
          <c:invertIfNegative val="0"/>
          <c:val>
            <c:numLit>
              <c:formatCode>General</c:formatCode>
              <c:ptCount val="9"/>
              <c:pt idx="0">
                <c:v>0.29756097560975608</c:v>
              </c:pt>
              <c:pt idx="1">
                <c:v>0.16585365853658537</c:v>
              </c:pt>
              <c:pt idx="2">
                <c:v>0.14634146341463414</c:v>
              </c:pt>
              <c:pt idx="3">
                <c:v>8.7804878048780483E-2</c:v>
              </c:pt>
              <c:pt idx="4">
                <c:v>0.10731707317073171</c:v>
              </c:pt>
              <c:pt idx="5">
                <c:v>7.3170731707317069E-2</c:v>
              </c:pt>
              <c:pt idx="6">
                <c:v>3.9024390243902439E-2</c:v>
              </c:pt>
              <c:pt idx="7">
                <c:v>4.878048780487805E-2</c:v>
              </c:pt>
              <c:pt idx="8">
                <c:v>3.4146341463414637E-2</c:v>
              </c:pt>
            </c:numLit>
          </c:val>
          <c:extLst>
            <c:ext xmlns:c16="http://schemas.microsoft.com/office/drawing/2014/chart" uri="{C3380CC4-5D6E-409C-BE32-E72D297353CC}">
              <c16:uniqueId val="{00000000-48C4-4D19-99A1-1C06BFA52D9F}"/>
            </c:ext>
          </c:extLst>
        </c:ser>
        <c:ser>
          <c:idx val="1"/>
          <c:order val="1"/>
          <c:tx>
            <c:v>Benford's %</c:v>
          </c:tx>
          <c:spPr>
            <a:solidFill>
              <a:schemeClr val="accent2"/>
            </a:solidFill>
            <a:ln>
              <a:noFill/>
            </a:ln>
            <a:effectLst/>
          </c:spPr>
          <c:invertIfNegative val="0"/>
          <c:val>
            <c:numLit>
              <c:formatCode>General</c:formatCode>
              <c:ptCount val="9"/>
              <c:pt idx="0">
                <c:v>0.30099999999999999</c:v>
              </c:pt>
              <c:pt idx="1">
                <c:v>0.17599999999999999</c:v>
              </c:pt>
              <c:pt idx="2">
                <c:v>0.125</c:v>
              </c:pt>
              <c:pt idx="3">
                <c:v>9.7000000000000003E-2</c:v>
              </c:pt>
              <c:pt idx="4">
                <c:v>7.9000000000000001E-2</c:v>
              </c:pt>
              <c:pt idx="5">
                <c:v>6.7000000000000004E-2</c:v>
              </c:pt>
              <c:pt idx="6">
                <c:v>5.8000000000000003E-2</c:v>
              </c:pt>
              <c:pt idx="7">
                <c:v>5.0999999999999997E-2</c:v>
              </c:pt>
              <c:pt idx="8">
                <c:v>4.5999999999999999E-2</c:v>
              </c:pt>
            </c:numLit>
          </c:val>
          <c:extLst>
            <c:ext xmlns:c16="http://schemas.microsoft.com/office/drawing/2014/chart" uri="{C3380CC4-5D6E-409C-BE32-E72D297353CC}">
              <c16:uniqueId val="{00000001-48C4-4D19-99A1-1C06BFA52D9F}"/>
            </c:ext>
          </c:extLst>
        </c:ser>
        <c:dLbls>
          <c:showLegendKey val="0"/>
          <c:showVal val="0"/>
          <c:showCatName val="0"/>
          <c:showSerName val="0"/>
          <c:showPercent val="0"/>
          <c:showBubbleSize val="0"/>
        </c:dLbls>
        <c:gapWidth val="150"/>
        <c:axId val="1078401183"/>
        <c:axId val="981468703"/>
      </c:barChart>
      <c:catAx>
        <c:axId val="1078401183"/>
        <c:scaling>
          <c:orientation val="minMax"/>
        </c:scaling>
        <c:delete val="0"/>
        <c:axPos val="b"/>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81468703"/>
        <c:crosses val="autoZero"/>
        <c:auto val="1"/>
        <c:lblAlgn val="ctr"/>
        <c:lblOffset val="100"/>
        <c:noMultiLvlLbl val="0"/>
      </c:catAx>
      <c:valAx>
        <c:axId val="981468703"/>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078401183"/>
        <c:crosses val="autoZero"/>
        <c:crossBetween val="between"/>
      </c:valAx>
      <c:spPr>
        <a:noFill/>
        <a:ln>
          <a:noFill/>
        </a:ln>
        <a:effectLst/>
      </c:spPr>
    </c:plotArea>
    <c:plotVisOnly val="1"/>
    <c:dispBlanksAs val="zero"/>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scatterChart>
        <c:scatterStyle val="lineMarker"/>
        <c:varyColors val="0"/>
        <c:ser>
          <c:idx val="0"/>
          <c:order val="0"/>
          <c:tx>
            <c:v>Diff.</c:v>
          </c:tx>
          <c:spPr>
            <a:ln w="19050" cap="rnd">
              <a:solidFill>
                <a:schemeClr val="accent1"/>
              </a:solidFill>
              <a:round/>
            </a:ln>
            <a:effectLst/>
          </c:spPr>
          <c:marker>
            <c:symbol val="circle"/>
            <c:size val="5"/>
            <c:spPr>
              <a:solidFill>
                <a:schemeClr val="accent1"/>
              </a:solidFill>
              <a:ln w="9525">
                <a:solidFill>
                  <a:schemeClr val="accent1"/>
                </a:solidFill>
              </a:ln>
              <a:effectLst/>
            </c:spPr>
          </c:marker>
          <c:xVal>
            <c:numLit>
              <c:formatCode>General</c:formatCode>
              <c:ptCount val="9"/>
              <c:pt idx="0">
                <c:v>1</c:v>
              </c:pt>
              <c:pt idx="1">
                <c:v>2</c:v>
              </c:pt>
              <c:pt idx="2">
                <c:v>3</c:v>
              </c:pt>
              <c:pt idx="3">
                <c:v>4</c:v>
              </c:pt>
              <c:pt idx="4">
                <c:v>5</c:v>
              </c:pt>
              <c:pt idx="5">
                <c:v>6</c:v>
              </c:pt>
              <c:pt idx="6">
                <c:v>7</c:v>
              </c:pt>
              <c:pt idx="7">
                <c:v>8</c:v>
              </c:pt>
              <c:pt idx="8">
                <c:v>9</c:v>
              </c:pt>
            </c:numLit>
          </c:xVal>
          <c:yVal>
            <c:numLit>
              <c:formatCode>General</c:formatCode>
              <c:ptCount val="9"/>
              <c:pt idx="0">
                <c:v>3.4390243902439055E-3</c:v>
              </c:pt>
              <c:pt idx="1">
                <c:v>1.0146341463414615E-2</c:v>
              </c:pt>
              <c:pt idx="2">
                <c:v>-2.1341463414634138E-2</c:v>
              </c:pt>
              <c:pt idx="3">
                <c:v>9.1951219512195204E-3</c:v>
              </c:pt>
              <c:pt idx="4">
                <c:v>-2.8317073170731705E-2</c:v>
              </c:pt>
              <c:pt idx="5">
                <c:v>-6.1707317073170648E-3</c:v>
              </c:pt>
              <c:pt idx="6">
                <c:v>1.8975609756097564E-2</c:v>
              </c:pt>
              <c:pt idx="7">
                <c:v>2.2195121951219463E-3</c:v>
              </c:pt>
              <c:pt idx="8">
                <c:v>1.1853658536585363E-2</c:v>
              </c:pt>
            </c:numLit>
          </c:yVal>
          <c:smooth val="0"/>
          <c:extLst>
            <c:ext xmlns:c16="http://schemas.microsoft.com/office/drawing/2014/chart" uri="{C3380CC4-5D6E-409C-BE32-E72D297353CC}">
              <c16:uniqueId val="{00000000-8A35-425E-AC28-2DCA9BE1628A}"/>
            </c:ext>
          </c:extLst>
        </c:ser>
        <c:dLbls>
          <c:showLegendKey val="0"/>
          <c:showVal val="0"/>
          <c:showCatName val="0"/>
          <c:showSerName val="0"/>
          <c:showPercent val="0"/>
          <c:showBubbleSize val="0"/>
        </c:dLbls>
        <c:axId val="1084301359"/>
        <c:axId val="1186138351"/>
      </c:scatterChart>
      <c:valAx>
        <c:axId val="1084301359"/>
        <c:scaling>
          <c:orientation val="minMax"/>
        </c:scaling>
        <c:delete val="0"/>
        <c:axPos val="b"/>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186138351"/>
        <c:crosses val="autoZero"/>
        <c:crossBetween val="midCat"/>
      </c:valAx>
      <c:valAx>
        <c:axId val="1186138351"/>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084301359"/>
        <c:crosses val="autoZero"/>
        <c:crossBetween val="midCat"/>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5" Type="http://schemas.openxmlformats.org/officeDocument/2006/relationships/image" Target="../media/image5.png"/><Relationship Id="rId4" Type="http://schemas.openxmlformats.org/officeDocument/2006/relationships/image" Target="../media/image4.png"/></Relationships>
</file>

<file path=xl/drawings/_rels/drawing3.xml.rels><?xml version="1.0" encoding="UTF-8" standalone="yes"?>
<Relationships xmlns="http://schemas.openxmlformats.org/package/2006/relationships"><Relationship Id="rId1" Type="http://schemas.openxmlformats.org/officeDocument/2006/relationships/image" Target="../media/image6.png"/></Relationships>
</file>

<file path=xl/drawings/_rels/drawing5.xml.rels><?xml version="1.0" encoding="UTF-8" standalone="yes"?>
<Relationships xmlns="http://schemas.openxmlformats.org/package/2006/relationships"><Relationship Id="rId3" Type="http://schemas.openxmlformats.org/officeDocument/2006/relationships/image" Target="../media/image9.png"/><Relationship Id="rId2" Type="http://schemas.openxmlformats.org/officeDocument/2006/relationships/image" Target="../media/image8.png"/><Relationship Id="rId1" Type="http://schemas.openxmlformats.org/officeDocument/2006/relationships/image" Target="../media/image7.png"/></Relationships>
</file>

<file path=xl/drawings/drawing1.xml><?xml version="1.0" encoding="utf-8"?>
<xdr:wsDr xmlns:xdr="http://schemas.openxmlformats.org/drawingml/2006/spreadsheetDrawing" xmlns:a="http://schemas.openxmlformats.org/drawingml/2006/main">
  <xdr:twoCellAnchor>
    <xdr:from>
      <xdr:col>6</xdr:col>
      <xdr:colOff>0</xdr:colOff>
      <xdr:row>16</xdr:row>
      <xdr:rowOff>19050</xdr:rowOff>
    </xdr:from>
    <xdr:to>
      <xdr:col>13</xdr:col>
      <xdr:colOff>228600</xdr:colOff>
      <xdr:row>35</xdr:row>
      <xdr:rowOff>71437</xdr:rowOff>
    </xdr:to>
    <xdr:graphicFrame macro="">
      <xdr:nvGraphicFramePr>
        <xdr:cNvPr id="2" name="Chart 1">
          <a:extLst>
            <a:ext uri="{FF2B5EF4-FFF2-40B4-BE49-F238E27FC236}">
              <a16:creationId xmlns:a16="http://schemas.microsoft.com/office/drawing/2014/main" id="{C1039DD0-8EFB-4839-93C5-55234F06C56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600075</xdr:colOff>
      <xdr:row>16</xdr:row>
      <xdr:rowOff>42862</xdr:rowOff>
    </xdr:from>
    <xdr:to>
      <xdr:col>21</xdr:col>
      <xdr:colOff>76200</xdr:colOff>
      <xdr:row>30</xdr:row>
      <xdr:rowOff>119062</xdr:rowOff>
    </xdr:to>
    <xdr:graphicFrame macro="">
      <xdr:nvGraphicFramePr>
        <xdr:cNvPr id="3" name="Chart 2">
          <a:extLst>
            <a:ext uri="{FF2B5EF4-FFF2-40B4-BE49-F238E27FC236}">
              <a16:creationId xmlns:a16="http://schemas.microsoft.com/office/drawing/2014/main" id="{29C90BA1-3963-47E6-9356-535642540DE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editAs="oneCell">
    <xdr:from>
      <xdr:col>4</xdr:col>
      <xdr:colOff>142875</xdr:colOff>
      <xdr:row>0</xdr:row>
      <xdr:rowOff>152400</xdr:rowOff>
    </xdr:from>
    <xdr:to>
      <xdr:col>9</xdr:col>
      <xdr:colOff>323381</xdr:colOff>
      <xdr:row>15</xdr:row>
      <xdr:rowOff>75820</xdr:rowOff>
    </xdr:to>
    <xdr:pic>
      <xdr:nvPicPr>
        <xdr:cNvPr id="5" name="Picture 4">
          <a:extLst>
            <a:ext uri="{FF2B5EF4-FFF2-40B4-BE49-F238E27FC236}">
              <a16:creationId xmlns:a16="http://schemas.microsoft.com/office/drawing/2014/main" id="{00000000-0008-0000-1600-000005000000}"/>
            </a:ext>
          </a:extLst>
        </xdr:cNvPr>
        <xdr:cNvPicPr>
          <a:picLocks noChangeAspect="1"/>
        </xdr:cNvPicPr>
      </xdr:nvPicPr>
      <xdr:blipFill>
        <a:blip xmlns:r="http://schemas.openxmlformats.org/officeDocument/2006/relationships" r:embed="rId1"/>
        <a:stretch>
          <a:fillRect/>
        </a:stretch>
      </xdr:blipFill>
      <xdr:spPr>
        <a:xfrm>
          <a:off x="5895975" y="152400"/>
          <a:ext cx="3752381" cy="3038095"/>
        </a:xfrm>
        <a:prstGeom prst="rect">
          <a:avLst/>
        </a:prstGeom>
      </xdr:spPr>
    </xdr:pic>
    <xdr:clientData/>
  </xdr:twoCellAnchor>
  <xdr:twoCellAnchor editAs="oneCell">
    <xdr:from>
      <xdr:col>9</xdr:col>
      <xdr:colOff>361950</xdr:colOff>
      <xdr:row>0</xdr:row>
      <xdr:rowOff>152400</xdr:rowOff>
    </xdr:from>
    <xdr:to>
      <xdr:col>15</xdr:col>
      <xdr:colOff>456731</xdr:colOff>
      <xdr:row>15</xdr:row>
      <xdr:rowOff>75820</xdr:rowOff>
    </xdr:to>
    <xdr:pic>
      <xdr:nvPicPr>
        <xdr:cNvPr id="6" name="Picture 5">
          <a:extLst>
            <a:ext uri="{FF2B5EF4-FFF2-40B4-BE49-F238E27FC236}">
              <a16:creationId xmlns:a16="http://schemas.microsoft.com/office/drawing/2014/main" id="{00000000-0008-0000-1600-000006000000}"/>
            </a:ext>
          </a:extLst>
        </xdr:cNvPr>
        <xdr:cNvPicPr>
          <a:picLocks noChangeAspect="1"/>
        </xdr:cNvPicPr>
      </xdr:nvPicPr>
      <xdr:blipFill>
        <a:blip xmlns:r="http://schemas.openxmlformats.org/officeDocument/2006/relationships" r:embed="rId2"/>
        <a:stretch>
          <a:fillRect/>
        </a:stretch>
      </xdr:blipFill>
      <xdr:spPr>
        <a:xfrm>
          <a:off x="9686925" y="152400"/>
          <a:ext cx="3752381" cy="3038095"/>
        </a:xfrm>
        <a:prstGeom prst="rect">
          <a:avLst/>
        </a:prstGeom>
      </xdr:spPr>
    </xdr:pic>
    <xdr:clientData/>
  </xdr:twoCellAnchor>
  <xdr:twoCellAnchor editAs="oneCell">
    <xdr:from>
      <xdr:col>15</xdr:col>
      <xdr:colOff>504825</xdr:colOff>
      <xdr:row>0</xdr:row>
      <xdr:rowOff>152400</xdr:rowOff>
    </xdr:from>
    <xdr:to>
      <xdr:col>21</xdr:col>
      <xdr:colOff>599606</xdr:colOff>
      <xdr:row>15</xdr:row>
      <xdr:rowOff>75820</xdr:rowOff>
    </xdr:to>
    <xdr:pic>
      <xdr:nvPicPr>
        <xdr:cNvPr id="7" name="Picture 6">
          <a:extLst>
            <a:ext uri="{FF2B5EF4-FFF2-40B4-BE49-F238E27FC236}">
              <a16:creationId xmlns:a16="http://schemas.microsoft.com/office/drawing/2014/main" id="{00000000-0008-0000-1600-000007000000}"/>
            </a:ext>
          </a:extLst>
        </xdr:cNvPr>
        <xdr:cNvPicPr>
          <a:picLocks noChangeAspect="1"/>
        </xdr:cNvPicPr>
      </xdr:nvPicPr>
      <xdr:blipFill>
        <a:blip xmlns:r="http://schemas.openxmlformats.org/officeDocument/2006/relationships" r:embed="rId3"/>
        <a:stretch>
          <a:fillRect/>
        </a:stretch>
      </xdr:blipFill>
      <xdr:spPr>
        <a:xfrm>
          <a:off x="13487400" y="152400"/>
          <a:ext cx="3752381" cy="3038095"/>
        </a:xfrm>
        <a:prstGeom prst="rect">
          <a:avLst/>
        </a:prstGeom>
      </xdr:spPr>
    </xdr:pic>
    <xdr:clientData/>
  </xdr:twoCellAnchor>
  <xdr:twoCellAnchor editAs="oneCell">
    <xdr:from>
      <xdr:col>3</xdr:col>
      <xdr:colOff>200025</xdr:colOff>
      <xdr:row>22</xdr:row>
      <xdr:rowOff>180975</xdr:rowOff>
    </xdr:from>
    <xdr:to>
      <xdr:col>7</xdr:col>
      <xdr:colOff>351956</xdr:colOff>
      <xdr:row>38</xdr:row>
      <xdr:rowOff>18670</xdr:rowOff>
    </xdr:to>
    <xdr:pic>
      <xdr:nvPicPr>
        <xdr:cNvPr id="8" name="Picture 7">
          <a:extLst>
            <a:ext uri="{FF2B5EF4-FFF2-40B4-BE49-F238E27FC236}">
              <a16:creationId xmlns:a16="http://schemas.microsoft.com/office/drawing/2014/main" id="{00000000-0008-0000-1600-000008000000}"/>
            </a:ext>
          </a:extLst>
        </xdr:cNvPr>
        <xdr:cNvPicPr>
          <a:picLocks noChangeAspect="1"/>
        </xdr:cNvPicPr>
      </xdr:nvPicPr>
      <xdr:blipFill>
        <a:blip xmlns:r="http://schemas.openxmlformats.org/officeDocument/2006/relationships" r:embed="rId4"/>
        <a:stretch>
          <a:fillRect/>
        </a:stretch>
      </xdr:blipFill>
      <xdr:spPr>
        <a:xfrm>
          <a:off x="4705350" y="4695825"/>
          <a:ext cx="3752381" cy="3038095"/>
        </a:xfrm>
        <a:prstGeom prst="rect">
          <a:avLst/>
        </a:prstGeom>
      </xdr:spPr>
    </xdr:pic>
    <xdr:clientData/>
  </xdr:twoCellAnchor>
  <xdr:twoCellAnchor editAs="oneCell">
    <xdr:from>
      <xdr:col>6</xdr:col>
      <xdr:colOff>28575</xdr:colOff>
      <xdr:row>42</xdr:row>
      <xdr:rowOff>0</xdr:rowOff>
    </xdr:from>
    <xdr:to>
      <xdr:col>12</xdr:col>
      <xdr:colOff>123356</xdr:colOff>
      <xdr:row>57</xdr:row>
      <xdr:rowOff>37720</xdr:rowOff>
    </xdr:to>
    <xdr:pic>
      <xdr:nvPicPr>
        <xdr:cNvPr id="9" name="Picture 8">
          <a:extLst>
            <a:ext uri="{FF2B5EF4-FFF2-40B4-BE49-F238E27FC236}">
              <a16:creationId xmlns:a16="http://schemas.microsoft.com/office/drawing/2014/main" id="{00000000-0008-0000-1600-000009000000}"/>
            </a:ext>
          </a:extLst>
        </xdr:cNvPr>
        <xdr:cNvPicPr>
          <a:picLocks noChangeAspect="1"/>
        </xdr:cNvPicPr>
      </xdr:nvPicPr>
      <xdr:blipFill>
        <a:blip xmlns:r="http://schemas.openxmlformats.org/officeDocument/2006/relationships" r:embed="rId5"/>
        <a:stretch>
          <a:fillRect/>
        </a:stretch>
      </xdr:blipFill>
      <xdr:spPr>
        <a:xfrm>
          <a:off x="7524750" y="8315325"/>
          <a:ext cx="3752381" cy="303809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7</xdr:col>
      <xdr:colOff>523875</xdr:colOff>
      <xdr:row>16</xdr:row>
      <xdr:rowOff>28575</xdr:rowOff>
    </xdr:from>
    <xdr:to>
      <xdr:col>15</xdr:col>
      <xdr:colOff>504075</xdr:colOff>
      <xdr:row>31</xdr:row>
      <xdr:rowOff>47265</xdr:rowOff>
    </xdr:to>
    <xdr:pic>
      <xdr:nvPicPr>
        <xdr:cNvPr id="5" name="Picture 4">
          <a:extLst>
            <a:ext uri="{FF2B5EF4-FFF2-40B4-BE49-F238E27FC236}">
              <a16:creationId xmlns:a16="http://schemas.microsoft.com/office/drawing/2014/main" id="{00000000-0008-0000-1A00-000005000000}"/>
            </a:ext>
          </a:extLst>
        </xdr:cNvPr>
        <xdr:cNvPicPr>
          <a:picLocks noChangeAspect="1"/>
        </xdr:cNvPicPr>
      </xdr:nvPicPr>
      <xdr:blipFill>
        <a:blip xmlns:r="http://schemas.openxmlformats.org/officeDocument/2006/relationships" r:embed="rId1"/>
        <a:stretch>
          <a:fillRect/>
        </a:stretch>
      </xdr:blipFill>
      <xdr:spPr>
        <a:xfrm>
          <a:off x="6877050" y="3276600"/>
          <a:ext cx="6000000" cy="2876190"/>
        </a:xfrm>
        <a:prstGeom prst="rect">
          <a:avLst/>
        </a:prstGeom>
      </xdr:spPr>
    </xdr:pic>
    <xdr:clientData/>
  </xdr:twoCellAnchor>
  <xdr:twoCellAnchor>
    <xdr:from>
      <xdr:col>6</xdr:col>
      <xdr:colOff>1181099</xdr:colOff>
      <xdr:row>11</xdr:row>
      <xdr:rowOff>28575</xdr:rowOff>
    </xdr:from>
    <xdr:to>
      <xdr:col>8</xdr:col>
      <xdr:colOff>247650</xdr:colOff>
      <xdr:row>16</xdr:row>
      <xdr:rowOff>38100</xdr:rowOff>
    </xdr:to>
    <xdr:cxnSp macro="">
      <xdr:nvCxnSpPr>
        <xdr:cNvPr id="7" name="Straight Connector 6">
          <a:extLst>
            <a:ext uri="{FF2B5EF4-FFF2-40B4-BE49-F238E27FC236}">
              <a16:creationId xmlns:a16="http://schemas.microsoft.com/office/drawing/2014/main" id="{00000000-0008-0000-1A00-000007000000}"/>
            </a:ext>
          </a:extLst>
        </xdr:cNvPr>
        <xdr:cNvCxnSpPr/>
      </xdr:nvCxnSpPr>
      <xdr:spPr>
        <a:xfrm>
          <a:off x="6353174" y="2314575"/>
          <a:ext cx="857251" cy="971550"/>
        </a:xfrm>
        <a:prstGeom prst="line">
          <a:avLst/>
        </a:prstGeom>
        <a:ln w="254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4.xml><?xml version="1.0" encoding="utf-8"?>
<xdr:wsDr xmlns:xdr="http://schemas.openxmlformats.org/drawingml/2006/spreadsheetDrawing" xmlns:a="http://schemas.openxmlformats.org/drawingml/2006/main">
  <xdr:oneCellAnchor>
    <xdr:from>
      <xdr:col>6</xdr:col>
      <xdr:colOff>390525</xdr:colOff>
      <xdr:row>1</xdr:row>
      <xdr:rowOff>85725</xdr:rowOff>
    </xdr:from>
    <xdr:ext cx="3238500" cy="1061060"/>
    <xdr:sp macro="" textlink="">
      <xdr:nvSpPr>
        <xdr:cNvPr id="2" name="Text Box 1">
          <a:extLst>
            <a:ext uri="{FF2B5EF4-FFF2-40B4-BE49-F238E27FC236}">
              <a16:creationId xmlns:a16="http://schemas.microsoft.com/office/drawing/2014/main" id="{00000000-0008-0000-1B00-000002000000}"/>
            </a:ext>
          </a:extLst>
        </xdr:cNvPr>
        <xdr:cNvSpPr txBox="1">
          <a:spLocks noChangeArrowheads="1"/>
        </xdr:cNvSpPr>
      </xdr:nvSpPr>
      <xdr:spPr bwMode="auto">
        <a:xfrm>
          <a:off x="7743825" y="352425"/>
          <a:ext cx="3238500" cy="1061060"/>
        </a:xfrm>
        <a:prstGeom prst="rect">
          <a:avLst/>
        </a:prstGeom>
        <a:solidFill>
          <a:srgbClr val="FFFFFF"/>
        </a:solidFill>
        <a:ln w="9525">
          <a:solidFill>
            <a:srgbClr val="000000"/>
          </a:solidFill>
          <a:miter lim="800000"/>
          <a:headEnd/>
          <a:tailEnd/>
        </a:ln>
      </xdr:spPr>
      <xdr:txBody>
        <a:bodyPr wrap="square" lIns="18288" tIns="27432" rIns="0" bIns="0" anchor="t" upright="1">
          <a:noAutofit/>
        </a:bodyPr>
        <a:lstStyle/>
        <a:p>
          <a:pPr algn="l" rtl="0">
            <a:defRPr sz="1000"/>
          </a:pPr>
          <a:r>
            <a:rPr lang="en-US" sz="1100" b="0" i="0" strike="noStrike">
              <a:solidFill>
                <a:srgbClr val="000000"/>
              </a:solidFill>
              <a:latin typeface="Calibri"/>
            </a:rPr>
            <a:t>Put the Cell Pointer on the Month Heading</a:t>
          </a:r>
        </a:p>
        <a:p>
          <a:pPr algn="l" rtl="0">
            <a:defRPr sz="1000"/>
          </a:pPr>
          <a:r>
            <a:rPr lang="en-US" sz="1100" b="0" i="0" strike="noStrike">
              <a:solidFill>
                <a:srgbClr val="000000"/>
              </a:solidFill>
              <a:latin typeface="Calibri"/>
            </a:rPr>
            <a:t> - Select Data</a:t>
          </a:r>
        </a:p>
        <a:p>
          <a:pPr algn="l" rtl="0">
            <a:defRPr sz="1000"/>
          </a:pPr>
          <a:r>
            <a:rPr lang="en-US" sz="1100" b="0" i="0" strike="noStrike">
              <a:solidFill>
                <a:srgbClr val="000000"/>
              </a:solidFill>
              <a:latin typeface="Calibri"/>
            </a:rPr>
            <a:t> - Select Insert, Pivot Table and Pivot Chart Reporting</a:t>
          </a:r>
        </a:p>
        <a:p>
          <a:pPr algn="l" rtl="0">
            <a:defRPr sz="1000"/>
          </a:pPr>
          <a:r>
            <a:rPr lang="en-US" sz="1100" b="0" i="0" strike="noStrike">
              <a:solidFill>
                <a:srgbClr val="000000"/>
              </a:solidFill>
              <a:latin typeface="Calibri"/>
            </a:rPr>
            <a:t>Use the Wizard</a:t>
          </a:r>
        </a:p>
        <a:p>
          <a:pPr algn="l" rtl="0">
            <a:defRPr sz="1000"/>
          </a:pPr>
          <a:r>
            <a:rPr lang="en-US" sz="1100" b="0" i="0" strike="noStrike">
              <a:solidFill>
                <a:srgbClr val="000000"/>
              </a:solidFill>
              <a:latin typeface="Calibri"/>
            </a:rPr>
            <a:t> - Select either Table or Chart</a:t>
          </a:r>
        </a:p>
        <a:p>
          <a:pPr algn="l" rtl="0">
            <a:defRPr sz="1000"/>
          </a:pPr>
          <a:r>
            <a:rPr lang="en-US" sz="1100" b="0" i="0" strike="noStrike">
              <a:solidFill>
                <a:srgbClr val="000000"/>
              </a:solidFill>
              <a:latin typeface="Calibri"/>
            </a:rPr>
            <a:t> - Build the Layout</a:t>
          </a:r>
        </a:p>
      </xdr:txBody>
    </xdr:sp>
    <xdr:clientData/>
  </xdr:oneCellAnchor>
</xdr:wsDr>
</file>

<file path=xl/drawings/drawing5.xml><?xml version="1.0" encoding="utf-8"?>
<xdr:wsDr xmlns:xdr="http://schemas.openxmlformats.org/drawingml/2006/spreadsheetDrawing" xmlns:a="http://schemas.openxmlformats.org/drawingml/2006/main">
  <xdr:twoCellAnchor editAs="oneCell">
    <xdr:from>
      <xdr:col>7</xdr:col>
      <xdr:colOff>314325</xdr:colOff>
      <xdr:row>30</xdr:row>
      <xdr:rowOff>133350</xdr:rowOff>
    </xdr:from>
    <xdr:to>
      <xdr:col>14</xdr:col>
      <xdr:colOff>514350</xdr:colOff>
      <xdr:row>52</xdr:row>
      <xdr:rowOff>97939</xdr:rowOff>
    </xdr:to>
    <xdr:pic>
      <xdr:nvPicPr>
        <xdr:cNvPr id="2" name="Picture 1">
          <a:extLst>
            <a:ext uri="{FF2B5EF4-FFF2-40B4-BE49-F238E27FC236}">
              <a16:creationId xmlns:a16="http://schemas.microsoft.com/office/drawing/2014/main" id="{00000000-0008-0000-1C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534150" y="5924550"/>
          <a:ext cx="4838700" cy="415558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1">
              <a:solidFill>
                <a:srgbClr val="000000"/>
              </a:solidFill>
              <a:miter lim="800000"/>
              <a:headEnd/>
              <a:tailEnd/>
            </a14:hiddenLine>
          </a:ext>
        </a:extLst>
      </xdr:spPr>
    </xdr:pic>
    <xdr:clientData/>
  </xdr:twoCellAnchor>
  <xdr:twoCellAnchor>
    <xdr:from>
      <xdr:col>5</xdr:col>
      <xdr:colOff>1095378</xdr:colOff>
      <xdr:row>3</xdr:row>
      <xdr:rowOff>123826</xdr:rowOff>
    </xdr:from>
    <xdr:to>
      <xdr:col>8</xdr:col>
      <xdr:colOff>342900</xdr:colOff>
      <xdr:row>30</xdr:row>
      <xdr:rowOff>161925</xdr:rowOff>
    </xdr:to>
    <xdr:cxnSp macro="">
      <xdr:nvCxnSpPr>
        <xdr:cNvPr id="3" name="Straight Arrow Connector 2">
          <a:extLst>
            <a:ext uri="{FF2B5EF4-FFF2-40B4-BE49-F238E27FC236}">
              <a16:creationId xmlns:a16="http://schemas.microsoft.com/office/drawing/2014/main" id="{00000000-0008-0000-1C00-000003000000}"/>
            </a:ext>
          </a:extLst>
        </xdr:cNvPr>
        <xdr:cNvCxnSpPr/>
      </xdr:nvCxnSpPr>
      <xdr:spPr>
        <a:xfrm flipH="1" flipV="1">
          <a:off x="5210178" y="771526"/>
          <a:ext cx="1962147" cy="5181599"/>
        </a:xfrm>
        <a:prstGeom prst="straightConnector1">
          <a:avLst/>
        </a:prstGeom>
        <a:ln w="31750">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219075</xdr:colOff>
      <xdr:row>30</xdr:row>
      <xdr:rowOff>123825</xdr:rowOff>
    </xdr:from>
    <xdr:to>
      <xdr:col>5</xdr:col>
      <xdr:colOff>1431360</xdr:colOff>
      <xdr:row>52</xdr:row>
      <xdr:rowOff>114300</xdr:rowOff>
    </xdr:to>
    <xdr:pic>
      <xdr:nvPicPr>
        <xdr:cNvPr id="4" name="Picture 2">
          <a:extLst>
            <a:ext uri="{FF2B5EF4-FFF2-40B4-BE49-F238E27FC236}">
              <a16:creationId xmlns:a16="http://schemas.microsoft.com/office/drawing/2014/main" id="{00000000-0008-0000-1C00-000004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19075" y="5915025"/>
          <a:ext cx="5327085" cy="418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1">
              <a:solidFill>
                <a:srgbClr val="000000"/>
              </a:solidFill>
              <a:miter lim="800000"/>
              <a:headEnd/>
              <a:tailEnd/>
            </a14:hiddenLine>
          </a:ext>
        </a:extLst>
      </xdr:spPr>
    </xdr:pic>
    <xdr:clientData/>
  </xdr:twoCellAnchor>
  <xdr:twoCellAnchor>
    <xdr:from>
      <xdr:col>0</xdr:col>
      <xdr:colOff>1066802</xdr:colOff>
      <xdr:row>3</xdr:row>
      <xdr:rowOff>114301</xdr:rowOff>
    </xdr:from>
    <xdr:to>
      <xdr:col>0</xdr:col>
      <xdr:colOff>1190626</xdr:colOff>
      <xdr:row>30</xdr:row>
      <xdr:rowOff>133350</xdr:rowOff>
    </xdr:to>
    <xdr:cxnSp macro="">
      <xdr:nvCxnSpPr>
        <xdr:cNvPr id="5" name="Straight Arrow Connector 4">
          <a:extLst>
            <a:ext uri="{FF2B5EF4-FFF2-40B4-BE49-F238E27FC236}">
              <a16:creationId xmlns:a16="http://schemas.microsoft.com/office/drawing/2014/main" id="{00000000-0008-0000-1C00-000005000000}"/>
            </a:ext>
          </a:extLst>
        </xdr:cNvPr>
        <xdr:cNvCxnSpPr/>
      </xdr:nvCxnSpPr>
      <xdr:spPr>
        <a:xfrm rot="16200000" flipV="1">
          <a:off x="-1452561" y="3281364"/>
          <a:ext cx="5162549" cy="123824"/>
        </a:xfrm>
        <a:prstGeom prst="straightConnector1">
          <a:avLst/>
        </a:prstGeom>
        <a:ln w="31750">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9</xdr:col>
      <xdr:colOff>200025</xdr:colOff>
      <xdr:row>4</xdr:row>
      <xdr:rowOff>104775</xdr:rowOff>
    </xdr:from>
    <xdr:to>
      <xdr:col>14</xdr:col>
      <xdr:colOff>85725</xdr:colOff>
      <xdr:row>15</xdr:row>
      <xdr:rowOff>171450</xdr:rowOff>
    </xdr:to>
    <xdr:pic>
      <xdr:nvPicPr>
        <xdr:cNvPr id="6" name="Picture 7">
          <a:extLst>
            <a:ext uri="{FF2B5EF4-FFF2-40B4-BE49-F238E27FC236}">
              <a16:creationId xmlns:a16="http://schemas.microsoft.com/office/drawing/2014/main" id="{00000000-0008-0000-1C00-00000600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8010525" y="942975"/>
          <a:ext cx="2933700" cy="21621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1">
              <a:solidFill>
                <a:srgbClr val="000000"/>
              </a:solidFill>
              <a:miter lim="800000"/>
              <a:headEnd/>
              <a:tailEnd/>
            </a14:hiddenLine>
          </a:ext>
        </a:extLst>
      </xdr:spPr>
    </xdr:pic>
    <xdr:clientData/>
  </xdr:twoCellAnchor>
  <xdr:oneCellAnchor>
    <xdr:from>
      <xdr:col>10</xdr:col>
      <xdr:colOff>152400</xdr:colOff>
      <xdr:row>19</xdr:row>
      <xdr:rowOff>142875</xdr:rowOff>
    </xdr:from>
    <xdr:ext cx="1752600" cy="599497"/>
    <xdr:sp macro="" textlink="">
      <xdr:nvSpPr>
        <xdr:cNvPr id="7" name="TextBox 6">
          <a:extLst>
            <a:ext uri="{FF2B5EF4-FFF2-40B4-BE49-F238E27FC236}">
              <a16:creationId xmlns:a16="http://schemas.microsoft.com/office/drawing/2014/main" id="{00000000-0008-0000-1C00-000007000000}"/>
            </a:ext>
          </a:extLst>
        </xdr:cNvPr>
        <xdr:cNvSpPr txBox="1"/>
      </xdr:nvSpPr>
      <xdr:spPr>
        <a:xfrm>
          <a:off x="8572500" y="3838575"/>
          <a:ext cx="1752600" cy="599497"/>
        </a:xfrm>
        <a:prstGeom prst="rect">
          <a:avLst/>
        </a:prstGeom>
        <a:solidFill>
          <a:schemeClr val="bg1"/>
        </a:solidFill>
        <a:ln w="6350">
          <a:solidFill>
            <a:schemeClr val="tx1"/>
          </a:solidFill>
        </a:ln>
      </xdr:spPr>
      <xdr:style>
        <a:lnRef idx="0">
          <a:scrgbClr r="0" g="0" b="0"/>
        </a:lnRef>
        <a:fillRef idx="0">
          <a:scrgbClr r="0" g="0" b="0"/>
        </a:fillRef>
        <a:effectRef idx="0">
          <a:scrgbClr r="0" g="0" b="0"/>
        </a:effectRef>
        <a:fontRef idx="minor">
          <a:schemeClr val="tx1"/>
        </a:fontRef>
      </xdr:style>
      <xdr:txBody>
        <a:bodyPr vertOverflow="clip" wrap="square" rtlCol="0" anchor="t">
          <a:noAutofit/>
        </a:bodyPr>
        <a:lstStyle/>
        <a:p>
          <a:r>
            <a:rPr lang="en-US" sz="1100"/>
            <a:t>Creating Range Names</a:t>
          </a:r>
        </a:p>
        <a:p>
          <a:r>
            <a:rPr lang="en-US" sz="1100"/>
            <a:t> - Formula - Name Manager</a:t>
          </a:r>
        </a:p>
        <a:p>
          <a:r>
            <a:rPr lang="en-US" sz="1100" baseline="0"/>
            <a:t> - New...  Create both Name Ranges</a:t>
          </a:r>
          <a:endParaRPr lang="en-US" sz="1100"/>
        </a:p>
      </xdr:txBody>
    </xdr:sp>
    <xdr:clientData/>
  </xdr:oneCellAnchor>
  <xdr:twoCellAnchor>
    <xdr:from>
      <xdr:col>10</xdr:col>
      <xdr:colOff>381003</xdr:colOff>
      <xdr:row>7</xdr:row>
      <xdr:rowOff>66675</xdr:rowOff>
    </xdr:from>
    <xdr:to>
      <xdr:col>11</xdr:col>
      <xdr:colOff>104775</xdr:colOff>
      <xdr:row>19</xdr:row>
      <xdr:rowOff>133350</xdr:rowOff>
    </xdr:to>
    <xdr:cxnSp macro="">
      <xdr:nvCxnSpPr>
        <xdr:cNvPr id="8" name="Straight Arrow Connector 7">
          <a:extLst>
            <a:ext uri="{FF2B5EF4-FFF2-40B4-BE49-F238E27FC236}">
              <a16:creationId xmlns:a16="http://schemas.microsoft.com/office/drawing/2014/main" id="{00000000-0008-0000-1C00-000008000000}"/>
            </a:ext>
          </a:extLst>
        </xdr:cNvPr>
        <xdr:cNvCxnSpPr/>
      </xdr:nvCxnSpPr>
      <xdr:spPr>
        <a:xfrm flipV="1">
          <a:off x="8801103" y="1476375"/>
          <a:ext cx="333372" cy="2352675"/>
        </a:xfrm>
        <a:prstGeom prst="straightConnector1">
          <a:avLst/>
        </a:prstGeom>
        <a:ln w="31750">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8.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6.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8.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21.bin"/></Relationships>
</file>

<file path=xl/worksheets/_rels/sheet31.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32.xml.rels><?xml version="1.0" encoding="UTF-8" standalone="yes"?>
<Relationships xmlns="http://schemas.openxmlformats.org/package/2006/relationships"><Relationship Id="rId1" Type="http://schemas.openxmlformats.org/officeDocument/2006/relationships/drawing" Target="../drawings/drawing5.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52"/>
  <sheetViews>
    <sheetView tabSelected="1" workbookViewId="0">
      <selection activeCell="B52" sqref="B52"/>
    </sheetView>
  </sheetViews>
  <sheetFormatPr defaultRowHeight="14.25" x14ac:dyDescent="0.45"/>
  <cols>
    <col min="1" max="1" width="5.265625" customWidth="1"/>
    <col min="2" max="2" width="160.3984375" customWidth="1"/>
    <col min="257" max="257" width="146.1328125" bestFit="1" customWidth="1"/>
    <col min="513" max="513" width="146.1328125" bestFit="1" customWidth="1"/>
    <col min="769" max="769" width="146.1328125" bestFit="1" customWidth="1"/>
    <col min="1025" max="1025" width="146.1328125" bestFit="1" customWidth="1"/>
    <col min="1281" max="1281" width="146.1328125" bestFit="1" customWidth="1"/>
    <col min="1537" max="1537" width="146.1328125" bestFit="1" customWidth="1"/>
    <col min="1793" max="1793" width="146.1328125" bestFit="1" customWidth="1"/>
    <col min="2049" max="2049" width="146.1328125" bestFit="1" customWidth="1"/>
    <col min="2305" max="2305" width="146.1328125" bestFit="1" customWidth="1"/>
    <col min="2561" max="2561" width="146.1328125" bestFit="1" customWidth="1"/>
    <col min="2817" max="2817" width="146.1328125" bestFit="1" customWidth="1"/>
    <col min="3073" max="3073" width="146.1328125" bestFit="1" customWidth="1"/>
    <col min="3329" max="3329" width="146.1328125" bestFit="1" customWidth="1"/>
    <col min="3585" max="3585" width="146.1328125" bestFit="1" customWidth="1"/>
    <col min="3841" max="3841" width="146.1328125" bestFit="1" customWidth="1"/>
    <col min="4097" max="4097" width="146.1328125" bestFit="1" customWidth="1"/>
    <col min="4353" max="4353" width="146.1328125" bestFit="1" customWidth="1"/>
    <col min="4609" max="4609" width="146.1328125" bestFit="1" customWidth="1"/>
    <col min="4865" max="4865" width="146.1328125" bestFit="1" customWidth="1"/>
    <col min="5121" max="5121" width="146.1328125" bestFit="1" customWidth="1"/>
    <col min="5377" max="5377" width="146.1328125" bestFit="1" customWidth="1"/>
    <col min="5633" max="5633" width="146.1328125" bestFit="1" customWidth="1"/>
    <col min="5889" max="5889" width="146.1328125" bestFit="1" customWidth="1"/>
    <col min="6145" max="6145" width="146.1328125" bestFit="1" customWidth="1"/>
    <col min="6401" max="6401" width="146.1328125" bestFit="1" customWidth="1"/>
    <col min="6657" max="6657" width="146.1328125" bestFit="1" customWidth="1"/>
    <col min="6913" max="6913" width="146.1328125" bestFit="1" customWidth="1"/>
    <col min="7169" max="7169" width="146.1328125" bestFit="1" customWidth="1"/>
    <col min="7425" max="7425" width="146.1328125" bestFit="1" customWidth="1"/>
    <col min="7681" max="7681" width="146.1328125" bestFit="1" customWidth="1"/>
    <col min="7937" max="7937" width="146.1328125" bestFit="1" customWidth="1"/>
    <col min="8193" max="8193" width="146.1328125" bestFit="1" customWidth="1"/>
    <col min="8449" max="8449" width="146.1328125" bestFit="1" customWidth="1"/>
    <col min="8705" max="8705" width="146.1328125" bestFit="1" customWidth="1"/>
    <col min="8961" max="8961" width="146.1328125" bestFit="1" customWidth="1"/>
    <col min="9217" max="9217" width="146.1328125" bestFit="1" customWidth="1"/>
    <col min="9473" max="9473" width="146.1328125" bestFit="1" customWidth="1"/>
    <col min="9729" max="9729" width="146.1328125" bestFit="1" customWidth="1"/>
    <col min="9985" max="9985" width="146.1328125" bestFit="1" customWidth="1"/>
    <col min="10241" max="10241" width="146.1328125" bestFit="1" customWidth="1"/>
    <col min="10497" max="10497" width="146.1328125" bestFit="1" customWidth="1"/>
    <col min="10753" max="10753" width="146.1328125" bestFit="1" customWidth="1"/>
    <col min="11009" max="11009" width="146.1328125" bestFit="1" customWidth="1"/>
    <col min="11265" max="11265" width="146.1328125" bestFit="1" customWidth="1"/>
    <col min="11521" max="11521" width="146.1328125" bestFit="1" customWidth="1"/>
    <col min="11777" max="11777" width="146.1328125" bestFit="1" customWidth="1"/>
    <col min="12033" max="12033" width="146.1328125" bestFit="1" customWidth="1"/>
    <col min="12289" max="12289" width="146.1328125" bestFit="1" customWidth="1"/>
    <col min="12545" max="12545" width="146.1328125" bestFit="1" customWidth="1"/>
    <col min="12801" max="12801" width="146.1328125" bestFit="1" customWidth="1"/>
    <col min="13057" max="13057" width="146.1328125" bestFit="1" customWidth="1"/>
    <col min="13313" max="13313" width="146.1328125" bestFit="1" customWidth="1"/>
    <col min="13569" max="13569" width="146.1328125" bestFit="1" customWidth="1"/>
    <col min="13825" max="13825" width="146.1328125" bestFit="1" customWidth="1"/>
    <col min="14081" max="14081" width="146.1328125" bestFit="1" customWidth="1"/>
    <col min="14337" max="14337" width="146.1328125" bestFit="1" customWidth="1"/>
    <col min="14593" max="14593" width="146.1328125" bestFit="1" customWidth="1"/>
    <col min="14849" max="14849" width="146.1328125" bestFit="1" customWidth="1"/>
    <col min="15105" max="15105" width="146.1328125" bestFit="1" customWidth="1"/>
    <col min="15361" max="15361" width="146.1328125" bestFit="1" customWidth="1"/>
    <col min="15617" max="15617" width="146.1328125" bestFit="1" customWidth="1"/>
    <col min="15873" max="15873" width="146.1328125" bestFit="1" customWidth="1"/>
    <col min="16129" max="16129" width="146.1328125" bestFit="1" customWidth="1"/>
  </cols>
  <sheetData>
    <row r="1" spans="1:2" ht="24" customHeight="1" thickBot="1" x14ac:dyDescent="0.75">
      <c r="A1" s="1" t="s">
        <v>483</v>
      </c>
    </row>
    <row r="2" spans="1:2" ht="87.75" customHeight="1" thickBot="1" x14ac:dyDescent="0.5">
      <c r="B2" s="128" t="s">
        <v>1298</v>
      </c>
    </row>
    <row r="4" spans="1:2" ht="21.4" thickBot="1" x14ac:dyDescent="0.7">
      <c r="A4" s="120" t="s">
        <v>662</v>
      </c>
    </row>
    <row r="5" spans="1:2" ht="21" x14ac:dyDescent="0.65">
      <c r="A5" s="120"/>
      <c r="B5" s="121" t="s">
        <v>658</v>
      </c>
    </row>
    <row r="6" spans="1:2" ht="21" x14ac:dyDescent="0.65">
      <c r="A6" s="120"/>
      <c r="B6" s="122" t="s">
        <v>659</v>
      </c>
    </row>
    <row r="7" spans="1:2" ht="21" x14ac:dyDescent="0.65">
      <c r="A7" s="120"/>
      <c r="B7" s="122" t="s">
        <v>660</v>
      </c>
    </row>
    <row r="8" spans="1:2" ht="21.4" thickBot="1" x14ac:dyDescent="0.7">
      <c r="A8" s="120"/>
      <c r="B8" s="123" t="s">
        <v>661</v>
      </c>
    </row>
    <row r="10" spans="1:2" ht="21.4" thickBot="1" x14ac:dyDescent="0.7">
      <c r="A10" s="57" t="s">
        <v>481</v>
      </c>
    </row>
    <row r="11" spans="1:2" ht="18" x14ac:dyDescent="0.55000000000000004">
      <c r="B11" s="124" t="s">
        <v>482</v>
      </c>
    </row>
    <row r="12" spans="1:2" ht="18" x14ac:dyDescent="0.55000000000000004">
      <c r="B12" s="125" t="s">
        <v>594</v>
      </c>
    </row>
    <row r="13" spans="1:2" x14ac:dyDescent="0.45">
      <c r="B13" s="129" t="s">
        <v>663</v>
      </c>
    </row>
    <row r="14" spans="1:2" ht="18" x14ac:dyDescent="0.55000000000000004">
      <c r="A14" s="58"/>
      <c r="B14" s="126" t="s">
        <v>595</v>
      </c>
    </row>
    <row r="15" spans="1:2" ht="18" x14ac:dyDescent="0.55000000000000004">
      <c r="A15" s="58"/>
      <c r="B15" s="130" t="s">
        <v>664</v>
      </c>
    </row>
    <row r="16" spans="1:2" ht="18" x14ac:dyDescent="0.55000000000000004">
      <c r="A16" s="58"/>
      <c r="B16" s="126" t="s">
        <v>596</v>
      </c>
    </row>
    <row r="17" spans="1:2" ht="18" x14ac:dyDescent="0.55000000000000004">
      <c r="A17" s="58"/>
      <c r="B17" s="130" t="s">
        <v>665</v>
      </c>
    </row>
    <row r="18" spans="1:2" ht="18" x14ac:dyDescent="0.55000000000000004">
      <c r="A18" s="58"/>
      <c r="B18" s="126" t="s">
        <v>597</v>
      </c>
    </row>
    <row r="19" spans="1:2" ht="18" x14ac:dyDescent="0.55000000000000004">
      <c r="A19" s="58"/>
      <c r="B19" s="130" t="s">
        <v>666</v>
      </c>
    </row>
    <row r="20" spans="1:2" ht="18" x14ac:dyDescent="0.55000000000000004">
      <c r="A20" s="58"/>
      <c r="B20" s="126" t="s">
        <v>598</v>
      </c>
    </row>
    <row r="21" spans="1:2" ht="18" x14ac:dyDescent="0.55000000000000004">
      <c r="A21" s="58"/>
      <c r="B21" s="130" t="s">
        <v>667</v>
      </c>
    </row>
    <row r="22" spans="1:2" ht="18" x14ac:dyDescent="0.55000000000000004">
      <c r="A22" s="58"/>
      <c r="B22" s="126" t="s">
        <v>599</v>
      </c>
    </row>
    <row r="23" spans="1:2" ht="18" x14ac:dyDescent="0.55000000000000004">
      <c r="A23" s="58"/>
      <c r="B23" s="130" t="s">
        <v>668</v>
      </c>
    </row>
    <row r="24" spans="1:2" ht="18" x14ac:dyDescent="0.55000000000000004">
      <c r="A24" s="58"/>
      <c r="B24" s="126" t="s">
        <v>1279</v>
      </c>
    </row>
    <row r="25" spans="1:2" ht="18" x14ac:dyDescent="0.55000000000000004">
      <c r="A25" s="58"/>
      <c r="B25" s="130" t="s">
        <v>1280</v>
      </c>
    </row>
    <row r="26" spans="1:2" ht="18" x14ac:dyDescent="0.55000000000000004">
      <c r="A26" s="58"/>
      <c r="B26" s="126" t="s">
        <v>600</v>
      </c>
    </row>
    <row r="27" spans="1:2" ht="18" x14ac:dyDescent="0.55000000000000004">
      <c r="A27" s="58"/>
      <c r="B27" s="130" t="s">
        <v>669</v>
      </c>
    </row>
    <row r="28" spans="1:2" ht="18" x14ac:dyDescent="0.55000000000000004">
      <c r="A28" s="58"/>
      <c r="B28" s="126" t="s">
        <v>1540</v>
      </c>
    </row>
    <row r="29" spans="1:2" ht="18" x14ac:dyDescent="0.55000000000000004">
      <c r="A29" s="58"/>
      <c r="B29" s="126" t="s">
        <v>601</v>
      </c>
    </row>
    <row r="30" spans="1:2" ht="18" x14ac:dyDescent="0.55000000000000004">
      <c r="A30" s="58"/>
      <c r="B30" s="126" t="s">
        <v>1541</v>
      </c>
    </row>
    <row r="31" spans="1:2" ht="18" x14ac:dyDescent="0.55000000000000004">
      <c r="A31" s="58"/>
      <c r="B31" s="126" t="s">
        <v>1543</v>
      </c>
    </row>
    <row r="32" spans="1:2" ht="18" x14ac:dyDescent="0.55000000000000004">
      <c r="A32" s="58"/>
      <c r="B32" s="126" t="s">
        <v>602</v>
      </c>
    </row>
    <row r="33" spans="1:2" ht="18" x14ac:dyDescent="0.55000000000000004">
      <c r="A33" s="58"/>
      <c r="B33" s="126" t="s">
        <v>603</v>
      </c>
    </row>
    <row r="34" spans="1:2" ht="18" x14ac:dyDescent="0.55000000000000004">
      <c r="A34" s="58"/>
      <c r="B34" s="126" t="s">
        <v>1542</v>
      </c>
    </row>
    <row r="35" spans="1:2" ht="18" x14ac:dyDescent="0.55000000000000004">
      <c r="A35" s="58"/>
      <c r="B35" s="126" t="s">
        <v>1544</v>
      </c>
    </row>
    <row r="36" spans="1:2" ht="18" x14ac:dyDescent="0.55000000000000004">
      <c r="A36" s="58"/>
      <c r="B36" s="126" t="s">
        <v>1545</v>
      </c>
    </row>
    <row r="37" spans="1:2" ht="18" x14ac:dyDescent="0.55000000000000004">
      <c r="A37" s="58"/>
      <c r="B37" s="126" t="s">
        <v>1546</v>
      </c>
    </row>
    <row r="38" spans="1:2" ht="18" x14ac:dyDescent="0.55000000000000004">
      <c r="A38" s="58"/>
      <c r="B38" s="126" t="s">
        <v>605</v>
      </c>
    </row>
    <row r="39" spans="1:2" ht="18" x14ac:dyDescent="0.55000000000000004">
      <c r="A39" s="58"/>
      <c r="B39" s="126" t="s">
        <v>604</v>
      </c>
    </row>
    <row r="40" spans="1:2" ht="18" x14ac:dyDescent="0.55000000000000004">
      <c r="A40" s="58"/>
      <c r="B40" s="126" t="s">
        <v>657</v>
      </c>
    </row>
    <row r="41" spans="1:2" ht="18" x14ac:dyDescent="0.55000000000000004">
      <c r="A41" s="58"/>
      <c r="B41" s="126" t="s">
        <v>1547</v>
      </c>
    </row>
    <row r="42" spans="1:2" ht="18" x14ac:dyDescent="0.55000000000000004">
      <c r="A42" s="58"/>
      <c r="B42" s="126" t="s">
        <v>1548</v>
      </c>
    </row>
    <row r="43" spans="1:2" ht="18" x14ac:dyDescent="0.55000000000000004">
      <c r="A43" s="58"/>
      <c r="B43" s="126" t="s">
        <v>1549</v>
      </c>
    </row>
    <row r="44" spans="1:2" ht="18" x14ac:dyDescent="0.55000000000000004">
      <c r="A44" s="58"/>
      <c r="B44" s="126" t="s">
        <v>1550</v>
      </c>
    </row>
    <row r="45" spans="1:2" ht="18" x14ac:dyDescent="0.55000000000000004">
      <c r="A45" s="58"/>
      <c r="B45" s="126" t="s">
        <v>1551</v>
      </c>
    </row>
    <row r="46" spans="1:2" ht="18" x14ac:dyDescent="0.55000000000000004">
      <c r="A46" s="58"/>
      <c r="B46" s="126" t="s">
        <v>1552</v>
      </c>
    </row>
    <row r="47" spans="1:2" ht="18" x14ac:dyDescent="0.55000000000000004">
      <c r="A47" s="58"/>
      <c r="B47" s="126" t="s">
        <v>1553</v>
      </c>
    </row>
    <row r="48" spans="1:2" ht="18" x14ac:dyDescent="0.55000000000000004">
      <c r="A48" s="58"/>
      <c r="B48" s="126" t="s">
        <v>1554</v>
      </c>
    </row>
    <row r="49" spans="1:2" ht="18.399999999999999" thickBot="1" x14ac:dyDescent="0.6">
      <c r="A49" s="58"/>
      <c r="B49" s="127" t="s">
        <v>1555</v>
      </c>
    </row>
    <row r="50" spans="1:2" ht="18" x14ac:dyDescent="0.55000000000000004">
      <c r="A50" s="58"/>
      <c r="B50" s="2"/>
    </row>
    <row r="51" spans="1:2" ht="18" x14ac:dyDescent="0.55000000000000004">
      <c r="A51" s="58"/>
      <c r="B51" t="s">
        <v>1556</v>
      </c>
    </row>
    <row r="52" spans="1:2" ht="18" x14ac:dyDescent="0.55000000000000004">
      <c r="A52" s="58"/>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5" tint="0.79998168889431442"/>
  </sheetPr>
  <dimension ref="A1:F76"/>
  <sheetViews>
    <sheetView topLeftCell="A19" workbookViewId="0"/>
  </sheetViews>
  <sheetFormatPr defaultRowHeight="14.25" x14ac:dyDescent="0.45"/>
  <cols>
    <col min="1" max="1" width="17.86328125" customWidth="1"/>
    <col min="2" max="2" width="25" bestFit="1" customWidth="1"/>
    <col min="3" max="3" width="24.86328125" bestFit="1" customWidth="1"/>
    <col min="4" max="4" width="34.3984375" bestFit="1" customWidth="1"/>
    <col min="5" max="5" width="22.1328125" bestFit="1" customWidth="1"/>
    <col min="6" max="6" width="23.59765625" bestFit="1" customWidth="1"/>
    <col min="256" max="256" width="17.86328125" customWidth="1"/>
    <col min="257" max="257" width="25" bestFit="1" customWidth="1"/>
    <col min="258" max="258" width="24.86328125" bestFit="1" customWidth="1"/>
    <col min="259" max="259" width="34.3984375" bestFit="1" customWidth="1"/>
    <col min="260" max="260" width="22.1328125" bestFit="1" customWidth="1"/>
    <col min="261" max="261" width="23.59765625" bestFit="1" customWidth="1"/>
    <col min="512" max="512" width="17.86328125" customWidth="1"/>
    <col min="513" max="513" width="25" bestFit="1" customWidth="1"/>
    <col min="514" max="514" width="24.86328125" bestFit="1" customWidth="1"/>
    <col min="515" max="515" width="34.3984375" bestFit="1" customWidth="1"/>
    <col min="516" max="516" width="22.1328125" bestFit="1" customWidth="1"/>
    <col min="517" max="517" width="23.59765625" bestFit="1" customWidth="1"/>
    <col min="768" max="768" width="17.86328125" customWidth="1"/>
    <col min="769" max="769" width="25" bestFit="1" customWidth="1"/>
    <col min="770" max="770" width="24.86328125" bestFit="1" customWidth="1"/>
    <col min="771" max="771" width="34.3984375" bestFit="1" customWidth="1"/>
    <col min="772" max="772" width="22.1328125" bestFit="1" customWidth="1"/>
    <col min="773" max="773" width="23.59765625" bestFit="1" customWidth="1"/>
    <col min="1024" max="1024" width="17.86328125" customWidth="1"/>
    <col min="1025" max="1025" width="25" bestFit="1" customWidth="1"/>
    <col min="1026" max="1026" width="24.86328125" bestFit="1" customWidth="1"/>
    <col min="1027" max="1027" width="34.3984375" bestFit="1" customWidth="1"/>
    <col min="1028" max="1028" width="22.1328125" bestFit="1" customWidth="1"/>
    <col min="1029" max="1029" width="23.59765625" bestFit="1" customWidth="1"/>
    <col min="1280" max="1280" width="17.86328125" customWidth="1"/>
    <col min="1281" max="1281" width="25" bestFit="1" customWidth="1"/>
    <col min="1282" max="1282" width="24.86328125" bestFit="1" customWidth="1"/>
    <col min="1283" max="1283" width="34.3984375" bestFit="1" customWidth="1"/>
    <col min="1284" max="1284" width="22.1328125" bestFit="1" customWidth="1"/>
    <col min="1285" max="1285" width="23.59765625" bestFit="1" customWidth="1"/>
    <col min="1536" max="1536" width="17.86328125" customWidth="1"/>
    <col min="1537" max="1537" width="25" bestFit="1" customWidth="1"/>
    <col min="1538" max="1538" width="24.86328125" bestFit="1" customWidth="1"/>
    <col min="1539" max="1539" width="34.3984375" bestFit="1" customWidth="1"/>
    <col min="1540" max="1540" width="22.1328125" bestFit="1" customWidth="1"/>
    <col min="1541" max="1541" width="23.59765625" bestFit="1" customWidth="1"/>
    <col min="1792" max="1792" width="17.86328125" customWidth="1"/>
    <col min="1793" max="1793" width="25" bestFit="1" customWidth="1"/>
    <col min="1794" max="1794" width="24.86328125" bestFit="1" customWidth="1"/>
    <col min="1795" max="1795" width="34.3984375" bestFit="1" customWidth="1"/>
    <col min="1796" max="1796" width="22.1328125" bestFit="1" customWidth="1"/>
    <col min="1797" max="1797" width="23.59765625" bestFit="1" customWidth="1"/>
    <col min="2048" max="2048" width="17.86328125" customWidth="1"/>
    <col min="2049" max="2049" width="25" bestFit="1" customWidth="1"/>
    <col min="2050" max="2050" width="24.86328125" bestFit="1" customWidth="1"/>
    <col min="2051" max="2051" width="34.3984375" bestFit="1" customWidth="1"/>
    <col min="2052" max="2052" width="22.1328125" bestFit="1" customWidth="1"/>
    <col min="2053" max="2053" width="23.59765625" bestFit="1" customWidth="1"/>
    <col min="2304" max="2304" width="17.86328125" customWidth="1"/>
    <col min="2305" max="2305" width="25" bestFit="1" customWidth="1"/>
    <col min="2306" max="2306" width="24.86328125" bestFit="1" customWidth="1"/>
    <col min="2307" max="2307" width="34.3984375" bestFit="1" customWidth="1"/>
    <col min="2308" max="2308" width="22.1328125" bestFit="1" customWidth="1"/>
    <col min="2309" max="2309" width="23.59765625" bestFit="1" customWidth="1"/>
    <col min="2560" max="2560" width="17.86328125" customWidth="1"/>
    <col min="2561" max="2561" width="25" bestFit="1" customWidth="1"/>
    <col min="2562" max="2562" width="24.86328125" bestFit="1" customWidth="1"/>
    <col min="2563" max="2563" width="34.3984375" bestFit="1" customWidth="1"/>
    <col min="2564" max="2564" width="22.1328125" bestFit="1" customWidth="1"/>
    <col min="2565" max="2565" width="23.59765625" bestFit="1" customWidth="1"/>
    <col min="2816" max="2816" width="17.86328125" customWidth="1"/>
    <col min="2817" max="2817" width="25" bestFit="1" customWidth="1"/>
    <col min="2818" max="2818" width="24.86328125" bestFit="1" customWidth="1"/>
    <col min="2819" max="2819" width="34.3984375" bestFit="1" customWidth="1"/>
    <col min="2820" max="2820" width="22.1328125" bestFit="1" customWidth="1"/>
    <col min="2821" max="2821" width="23.59765625" bestFit="1" customWidth="1"/>
    <col min="3072" max="3072" width="17.86328125" customWidth="1"/>
    <col min="3073" max="3073" width="25" bestFit="1" customWidth="1"/>
    <col min="3074" max="3074" width="24.86328125" bestFit="1" customWidth="1"/>
    <col min="3075" max="3075" width="34.3984375" bestFit="1" customWidth="1"/>
    <col min="3076" max="3076" width="22.1328125" bestFit="1" customWidth="1"/>
    <col min="3077" max="3077" width="23.59765625" bestFit="1" customWidth="1"/>
    <col min="3328" max="3328" width="17.86328125" customWidth="1"/>
    <col min="3329" max="3329" width="25" bestFit="1" customWidth="1"/>
    <col min="3330" max="3330" width="24.86328125" bestFit="1" customWidth="1"/>
    <col min="3331" max="3331" width="34.3984375" bestFit="1" customWidth="1"/>
    <col min="3332" max="3332" width="22.1328125" bestFit="1" customWidth="1"/>
    <col min="3333" max="3333" width="23.59765625" bestFit="1" customWidth="1"/>
    <col min="3584" max="3584" width="17.86328125" customWidth="1"/>
    <col min="3585" max="3585" width="25" bestFit="1" customWidth="1"/>
    <col min="3586" max="3586" width="24.86328125" bestFit="1" customWidth="1"/>
    <col min="3587" max="3587" width="34.3984375" bestFit="1" customWidth="1"/>
    <col min="3588" max="3588" width="22.1328125" bestFit="1" customWidth="1"/>
    <col min="3589" max="3589" width="23.59765625" bestFit="1" customWidth="1"/>
    <col min="3840" max="3840" width="17.86328125" customWidth="1"/>
    <col min="3841" max="3841" width="25" bestFit="1" customWidth="1"/>
    <col min="3842" max="3842" width="24.86328125" bestFit="1" customWidth="1"/>
    <col min="3843" max="3843" width="34.3984375" bestFit="1" customWidth="1"/>
    <col min="3844" max="3844" width="22.1328125" bestFit="1" customWidth="1"/>
    <col min="3845" max="3845" width="23.59765625" bestFit="1" customWidth="1"/>
    <col min="4096" max="4096" width="17.86328125" customWidth="1"/>
    <col min="4097" max="4097" width="25" bestFit="1" customWidth="1"/>
    <col min="4098" max="4098" width="24.86328125" bestFit="1" customWidth="1"/>
    <col min="4099" max="4099" width="34.3984375" bestFit="1" customWidth="1"/>
    <col min="4100" max="4100" width="22.1328125" bestFit="1" customWidth="1"/>
    <col min="4101" max="4101" width="23.59765625" bestFit="1" customWidth="1"/>
    <col min="4352" max="4352" width="17.86328125" customWidth="1"/>
    <col min="4353" max="4353" width="25" bestFit="1" customWidth="1"/>
    <col min="4354" max="4354" width="24.86328125" bestFit="1" customWidth="1"/>
    <col min="4355" max="4355" width="34.3984375" bestFit="1" customWidth="1"/>
    <col min="4356" max="4356" width="22.1328125" bestFit="1" customWidth="1"/>
    <col min="4357" max="4357" width="23.59765625" bestFit="1" customWidth="1"/>
    <col min="4608" max="4608" width="17.86328125" customWidth="1"/>
    <col min="4609" max="4609" width="25" bestFit="1" customWidth="1"/>
    <col min="4610" max="4610" width="24.86328125" bestFit="1" customWidth="1"/>
    <col min="4611" max="4611" width="34.3984375" bestFit="1" customWidth="1"/>
    <col min="4612" max="4612" width="22.1328125" bestFit="1" customWidth="1"/>
    <col min="4613" max="4613" width="23.59765625" bestFit="1" customWidth="1"/>
    <col min="4864" max="4864" width="17.86328125" customWidth="1"/>
    <col min="4865" max="4865" width="25" bestFit="1" customWidth="1"/>
    <col min="4866" max="4866" width="24.86328125" bestFit="1" customWidth="1"/>
    <col min="4867" max="4867" width="34.3984375" bestFit="1" customWidth="1"/>
    <col min="4868" max="4868" width="22.1328125" bestFit="1" customWidth="1"/>
    <col min="4869" max="4869" width="23.59765625" bestFit="1" customWidth="1"/>
    <col min="5120" max="5120" width="17.86328125" customWidth="1"/>
    <col min="5121" max="5121" width="25" bestFit="1" customWidth="1"/>
    <col min="5122" max="5122" width="24.86328125" bestFit="1" customWidth="1"/>
    <col min="5123" max="5123" width="34.3984375" bestFit="1" customWidth="1"/>
    <col min="5124" max="5124" width="22.1328125" bestFit="1" customWidth="1"/>
    <col min="5125" max="5125" width="23.59765625" bestFit="1" customWidth="1"/>
    <col min="5376" max="5376" width="17.86328125" customWidth="1"/>
    <col min="5377" max="5377" width="25" bestFit="1" customWidth="1"/>
    <col min="5378" max="5378" width="24.86328125" bestFit="1" customWidth="1"/>
    <col min="5379" max="5379" width="34.3984375" bestFit="1" customWidth="1"/>
    <col min="5380" max="5380" width="22.1328125" bestFit="1" customWidth="1"/>
    <col min="5381" max="5381" width="23.59765625" bestFit="1" customWidth="1"/>
    <col min="5632" max="5632" width="17.86328125" customWidth="1"/>
    <col min="5633" max="5633" width="25" bestFit="1" customWidth="1"/>
    <col min="5634" max="5634" width="24.86328125" bestFit="1" customWidth="1"/>
    <col min="5635" max="5635" width="34.3984375" bestFit="1" customWidth="1"/>
    <col min="5636" max="5636" width="22.1328125" bestFit="1" customWidth="1"/>
    <col min="5637" max="5637" width="23.59765625" bestFit="1" customWidth="1"/>
    <col min="5888" max="5888" width="17.86328125" customWidth="1"/>
    <col min="5889" max="5889" width="25" bestFit="1" customWidth="1"/>
    <col min="5890" max="5890" width="24.86328125" bestFit="1" customWidth="1"/>
    <col min="5891" max="5891" width="34.3984375" bestFit="1" customWidth="1"/>
    <col min="5892" max="5892" width="22.1328125" bestFit="1" customWidth="1"/>
    <col min="5893" max="5893" width="23.59765625" bestFit="1" customWidth="1"/>
    <col min="6144" max="6144" width="17.86328125" customWidth="1"/>
    <col min="6145" max="6145" width="25" bestFit="1" customWidth="1"/>
    <col min="6146" max="6146" width="24.86328125" bestFit="1" customWidth="1"/>
    <col min="6147" max="6147" width="34.3984375" bestFit="1" customWidth="1"/>
    <col min="6148" max="6148" width="22.1328125" bestFit="1" customWidth="1"/>
    <col min="6149" max="6149" width="23.59765625" bestFit="1" customWidth="1"/>
    <col min="6400" max="6400" width="17.86328125" customWidth="1"/>
    <col min="6401" max="6401" width="25" bestFit="1" customWidth="1"/>
    <col min="6402" max="6402" width="24.86328125" bestFit="1" customWidth="1"/>
    <col min="6403" max="6403" width="34.3984375" bestFit="1" customWidth="1"/>
    <col min="6404" max="6404" width="22.1328125" bestFit="1" customWidth="1"/>
    <col min="6405" max="6405" width="23.59765625" bestFit="1" customWidth="1"/>
    <col min="6656" max="6656" width="17.86328125" customWidth="1"/>
    <col min="6657" max="6657" width="25" bestFit="1" customWidth="1"/>
    <col min="6658" max="6658" width="24.86328125" bestFit="1" customWidth="1"/>
    <col min="6659" max="6659" width="34.3984375" bestFit="1" customWidth="1"/>
    <col min="6660" max="6660" width="22.1328125" bestFit="1" customWidth="1"/>
    <col min="6661" max="6661" width="23.59765625" bestFit="1" customWidth="1"/>
    <col min="6912" max="6912" width="17.86328125" customWidth="1"/>
    <col min="6913" max="6913" width="25" bestFit="1" customWidth="1"/>
    <col min="6914" max="6914" width="24.86328125" bestFit="1" customWidth="1"/>
    <col min="6915" max="6915" width="34.3984375" bestFit="1" customWidth="1"/>
    <col min="6916" max="6916" width="22.1328125" bestFit="1" customWidth="1"/>
    <col min="6917" max="6917" width="23.59765625" bestFit="1" customWidth="1"/>
    <col min="7168" max="7168" width="17.86328125" customWidth="1"/>
    <col min="7169" max="7169" width="25" bestFit="1" customWidth="1"/>
    <col min="7170" max="7170" width="24.86328125" bestFit="1" customWidth="1"/>
    <col min="7171" max="7171" width="34.3984375" bestFit="1" customWidth="1"/>
    <col min="7172" max="7172" width="22.1328125" bestFit="1" customWidth="1"/>
    <col min="7173" max="7173" width="23.59765625" bestFit="1" customWidth="1"/>
    <col min="7424" max="7424" width="17.86328125" customWidth="1"/>
    <col min="7425" max="7425" width="25" bestFit="1" customWidth="1"/>
    <col min="7426" max="7426" width="24.86328125" bestFit="1" customWidth="1"/>
    <col min="7427" max="7427" width="34.3984375" bestFit="1" customWidth="1"/>
    <col min="7428" max="7428" width="22.1328125" bestFit="1" customWidth="1"/>
    <col min="7429" max="7429" width="23.59765625" bestFit="1" customWidth="1"/>
    <col min="7680" max="7680" width="17.86328125" customWidth="1"/>
    <col min="7681" max="7681" width="25" bestFit="1" customWidth="1"/>
    <col min="7682" max="7682" width="24.86328125" bestFit="1" customWidth="1"/>
    <col min="7683" max="7683" width="34.3984375" bestFit="1" customWidth="1"/>
    <col min="7684" max="7684" width="22.1328125" bestFit="1" customWidth="1"/>
    <col min="7685" max="7685" width="23.59765625" bestFit="1" customWidth="1"/>
    <col min="7936" max="7936" width="17.86328125" customWidth="1"/>
    <col min="7937" max="7937" width="25" bestFit="1" customWidth="1"/>
    <col min="7938" max="7938" width="24.86328125" bestFit="1" customWidth="1"/>
    <col min="7939" max="7939" width="34.3984375" bestFit="1" customWidth="1"/>
    <col min="7940" max="7940" width="22.1328125" bestFit="1" customWidth="1"/>
    <col min="7941" max="7941" width="23.59765625" bestFit="1" customWidth="1"/>
    <col min="8192" max="8192" width="17.86328125" customWidth="1"/>
    <col min="8193" max="8193" width="25" bestFit="1" customWidth="1"/>
    <col min="8194" max="8194" width="24.86328125" bestFit="1" customWidth="1"/>
    <col min="8195" max="8195" width="34.3984375" bestFit="1" customWidth="1"/>
    <col min="8196" max="8196" width="22.1328125" bestFit="1" customWidth="1"/>
    <col min="8197" max="8197" width="23.59765625" bestFit="1" customWidth="1"/>
    <col min="8448" max="8448" width="17.86328125" customWidth="1"/>
    <col min="8449" max="8449" width="25" bestFit="1" customWidth="1"/>
    <col min="8450" max="8450" width="24.86328125" bestFit="1" customWidth="1"/>
    <col min="8451" max="8451" width="34.3984375" bestFit="1" customWidth="1"/>
    <col min="8452" max="8452" width="22.1328125" bestFit="1" customWidth="1"/>
    <col min="8453" max="8453" width="23.59765625" bestFit="1" customWidth="1"/>
    <col min="8704" max="8704" width="17.86328125" customWidth="1"/>
    <col min="8705" max="8705" width="25" bestFit="1" customWidth="1"/>
    <col min="8706" max="8706" width="24.86328125" bestFit="1" customWidth="1"/>
    <col min="8707" max="8707" width="34.3984375" bestFit="1" customWidth="1"/>
    <col min="8708" max="8708" width="22.1328125" bestFit="1" customWidth="1"/>
    <col min="8709" max="8709" width="23.59765625" bestFit="1" customWidth="1"/>
    <col min="8960" max="8960" width="17.86328125" customWidth="1"/>
    <col min="8961" max="8961" width="25" bestFit="1" customWidth="1"/>
    <col min="8962" max="8962" width="24.86328125" bestFit="1" customWidth="1"/>
    <col min="8963" max="8963" width="34.3984375" bestFit="1" customWidth="1"/>
    <col min="8964" max="8964" width="22.1328125" bestFit="1" customWidth="1"/>
    <col min="8965" max="8965" width="23.59765625" bestFit="1" customWidth="1"/>
    <col min="9216" max="9216" width="17.86328125" customWidth="1"/>
    <col min="9217" max="9217" width="25" bestFit="1" customWidth="1"/>
    <col min="9218" max="9218" width="24.86328125" bestFit="1" customWidth="1"/>
    <col min="9219" max="9219" width="34.3984375" bestFit="1" customWidth="1"/>
    <col min="9220" max="9220" width="22.1328125" bestFit="1" customWidth="1"/>
    <col min="9221" max="9221" width="23.59765625" bestFit="1" customWidth="1"/>
    <col min="9472" max="9472" width="17.86328125" customWidth="1"/>
    <col min="9473" max="9473" width="25" bestFit="1" customWidth="1"/>
    <col min="9474" max="9474" width="24.86328125" bestFit="1" customWidth="1"/>
    <col min="9475" max="9475" width="34.3984375" bestFit="1" customWidth="1"/>
    <col min="9476" max="9476" width="22.1328125" bestFit="1" customWidth="1"/>
    <col min="9477" max="9477" width="23.59765625" bestFit="1" customWidth="1"/>
    <col min="9728" max="9728" width="17.86328125" customWidth="1"/>
    <col min="9729" max="9729" width="25" bestFit="1" customWidth="1"/>
    <col min="9730" max="9730" width="24.86328125" bestFit="1" customWidth="1"/>
    <col min="9731" max="9731" width="34.3984375" bestFit="1" customWidth="1"/>
    <col min="9732" max="9732" width="22.1328125" bestFit="1" customWidth="1"/>
    <col min="9733" max="9733" width="23.59765625" bestFit="1" customWidth="1"/>
    <col min="9984" max="9984" width="17.86328125" customWidth="1"/>
    <col min="9985" max="9985" width="25" bestFit="1" customWidth="1"/>
    <col min="9986" max="9986" width="24.86328125" bestFit="1" customWidth="1"/>
    <col min="9987" max="9987" width="34.3984375" bestFit="1" customWidth="1"/>
    <col min="9988" max="9988" width="22.1328125" bestFit="1" customWidth="1"/>
    <col min="9989" max="9989" width="23.59765625" bestFit="1" customWidth="1"/>
    <col min="10240" max="10240" width="17.86328125" customWidth="1"/>
    <col min="10241" max="10241" width="25" bestFit="1" customWidth="1"/>
    <col min="10242" max="10242" width="24.86328125" bestFit="1" customWidth="1"/>
    <col min="10243" max="10243" width="34.3984375" bestFit="1" customWidth="1"/>
    <col min="10244" max="10244" width="22.1328125" bestFit="1" customWidth="1"/>
    <col min="10245" max="10245" width="23.59765625" bestFit="1" customWidth="1"/>
    <col min="10496" max="10496" width="17.86328125" customWidth="1"/>
    <col min="10497" max="10497" width="25" bestFit="1" customWidth="1"/>
    <col min="10498" max="10498" width="24.86328125" bestFit="1" customWidth="1"/>
    <col min="10499" max="10499" width="34.3984375" bestFit="1" customWidth="1"/>
    <col min="10500" max="10500" width="22.1328125" bestFit="1" customWidth="1"/>
    <col min="10501" max="10501" width="23.59765625" bestFit="1" customWidth="1"/>
    <col min="10752" max="10752" width="17.86328125" customWidth="1"/>
    <col min="10753" max="10753" width="25" bestFit="1" customWidth="1"/>
    <col min="10754" max="10754" width="24.86328125" bestFit="1" customWidth="1"/>
    <col min="10755" max="10755" width="34.3984375" bestFit="1" customWidth="1"/>
    <col min="10756" max="10756" width="22.1328125" bestFit="1" customWidth="1"/>
    <col min="10757" max="10757" width="23.59765625" bestFit="1" customWidth="1"/>
    <col min="11008" max="11008" width="17.86328125" customWidth="1"/>
    <col min="11009" max="11009" width="25" bestFit="1" customWidth="1"/>
    <col min="11010" max="11010" width="24.86328125" bestFit="1" customWidth="1"/>
    <col min="11011" max="11011" width="34.3984375" bestFit="1" customWidth="1"/>
    <col min="11012" max="11012" width="22.1328125" bestFit="1" customWidth="1"/>
    <col min="11013" max="11013" width="23.59765625" bestFit="1" customWidth="1"/>
    <col min="11264" max="11264" width="17.86328125" customWidth="1"/>
    <col min="11265" max="11265" width="25" bestFit="1" customWidth="1"/>
    <col min="11266" max="11266" width="24.86328125" bestFit="1" customWidth="1"/>
    <col min="11267" max="11267" width="34.3984375" bestFit="1" customWidth="1"/>
    <col min="11268" max="11268" width="22.1328125" bestFit="1" customWidth="1"/>
    <col min="11269" max="11269" width="23.59765625" bestFit="1" customWidth="1"/>
    <col min="11520" max="11520" width="17.86328125" customWidth="1"/>
    <col min="11521" max="11521" width="25" bestFit="1" customWidth="1"/>
    <col min="11522" max="11522" width="24.86328125" bestFit="1" customWidth="1"/>
    <col min="11523" max="11523" width="34.3984375" bestFit="1" customWidth="1"/>
    <col min="11524" max="11524" width="22.1328125" bestFit="1" customWidth="1"/>
    <col min="11525" max="11525" width="23.59765625" bestFit="1" customWidth="1"/>
    <col min="11776" max="11776" width="17.86328125" customWidth="1"/>
    <col min="11777" max="11777" width="25" bestFit="1" customWidth="1"/>
    <col min="11778" max="11778" width="24.86328125" bestFit="1" customWidth="1"/>
    <col min="11779" max="11779" width="34.3984375" bestFit="1" customWidth="1"/>
    <col min="11780" max="11780" width="22.1328125" bestFit="1" customWidth="1"/>
    <col min="11781" max="11781" width="23.59765625" bestFit="1" customWidth="1"/>
    <col min="12032" max="12032" width="17.86328125" customWidth="1"/>
    <col min="12033" max="12033" width="25" bestFit="1" customWidth="1"/>
    <col min="12034" max="12034" width="24.86328125" bestFit="1" customWidth="1"/>
    <col min="12035" max="12035" width="34.3984375" bestFit="1" customWidth="1"/>
    <col min="12036" max="12036" width="22.1328125" bestFit="1" customWidth="1"/>
    <col min="12037" max="12037" width="23.59765625" bestFit="1" customWidth="1"/>
    <col min="12288" max="12288" width="17.86328125" customWidth="1"/>
    <col min="12289" max="12289" width="25" bestFit="1" customWidth="1"/>
    <col min="12290" max="12290" width="24.86328125" bestFit="1" customWidth="1"/>
    <col min="12291" max="12291" width="34.3984375" bestFit="1" customWidth="1"/>
    <col min="12292" max="12292" width="22.1328125" bestFit="1" customWidth="1"/>
    <col min="12293" max="12293" width="23.59765625" bestFit="1" customWidth="1"/>
    <col min="12544" max="12544" width="17.86328125" customWidth="1"/>
    <col min="12545" max="12545" width="25" bestFit="1" customWidth="1"/>
    <col min="12546" max="12546" width="24.86328125" bestFit="1" customWidth="1"/>
    <col min="12547" max="12547" width="34.3984375" bestFit="1" customWidth="1"/>
    <col min="12548" max="12548" width="22.1328125" bestFit="1" customWidth="1"/>
    <col min="12549" max="12549" width="23.59765625" bestFit="1" customWidth="1"/>
    <col min="12800" max="12800" width="17.86328125" customWidth="1"/>
    <col min="12801" max="12801" width="25" bestFit="1" customWidth="1"/>
    <col min="12802" max="12802" width="24.86328125" bestFit="1" customWidth="1"/>
    <col min="12803" max="12803" width="34.3984375" bestFit="1" customWidth="1"/>
    <col min="12804" max="12804" width="22.1328125" bestFit="1" customWidth="1"/>
    <col min="12805" max="12805" width="23.59765625" bestFit="1" customWidth="1"/>
    <col min="13056" max="13056" width="17.86328125" customWidth="1"/>
    <col min="13057" max="13057" width="25" bestFit="1" customWidth="1"/>
    <col min="13058" max="13058" width="24.86328125" bestFit="1" customWidth="1"/>
    <col min="13059" max="13059" width="34.3984375" bestFit="1" customWidth="1"/>
    <col min="13060" max="13060" width="22.1328125" bestFit="1" customWidth="1"/>
    <col min="13061" max="13061" width="23.59765625" bestFit="1" customWidth="1"/>
    <col min="13312" max="13312" width="17.86328125" customWidth="1"/>
    <col min="13313" max="13313" width="25" bestFit="1" customWidth="1"/>
    <col min="13314" max="13314" width="24.86328125" bestFit="1" customWidth="1"/>
    <col min="13315" max="13315" width="34.3984375" bestFit="1" customWidth="1"/>
    <col min="13316" max="13316" width="22.1328125" bestFit="1" customWidth="1"/>
    <col min="13317" max="13317" width="23.59765625" bestFit="1" customWidth="1"/>
    <col min="13568" max="13568" width="17.86328125" customWidth="1"/>
    <col min="13569" max="13569" width="25" bestFit="1" customWidth="1"/>
    <col min="13570" max="13570" width="24.86328125" bestFit="1" customWidth="1"/>
    <col min="13571" max="13571" width="34.3984375" bestFit="1" customWidth="1"/>
    <col min="13572" max="13572" width="22.1328125" bestFit="1" customWidth="1"/>
    <col min="13573" max="13573" width="23.59765625" bestFit="1" customWidth="1"/>
    <col min="13824" max="13824" width="17.86328125" customWidth="1"/>
    <col min="13825" max="13825" width="25" bestFit="1" customWidth="1"/>
    <col min="13826" max="13826" width="24.86328125" bestFit="1" customWidth="1"/>
    <col min="13827" max="13827" width="34.3984375" bestFit="1" customWidth="1"/>
    <col min="13828" max="13828" width="22.1328125" bestFit="1" customWidth="1"/>
    <col min="13829" max="13829" width="23.59765625" bestFit="1" customWidth="1"/>
    <col min="14080" max="14080" width="17.86328125" customWidth="1"/>
    <col min="14081" max="14081" width="25" bestFit="1" customWidth="1"/>
    <col min="14082" max="14082" width="24.86328125" bestFit="1" customWidth="1"/>
    <col min="14083" max="14083" width="34.3984375" bestFit="1" customWidth="1"/>
    <col min="14084" max="14084" width="22.1328125" bestFit="1" customWidth="1"/>
    <col min="14085" max="14085" width="23.59765625" bestFit="1" customWidth="1"/>
    <col min="14336" max="14336" width="17.86328125" customWidth="1"/>
    <col min="14337" max="14337" width="25" bestFit="1" customWidth="1"/>
    <col min="14338" max="14338" width="24.86328125" bestFit="1" customWidth="1"/>
    <col min="14339" max="14339" width="34.3984375" bestFit="1" customWidth="1"/>
    <col min="14340" max="14340" width="22.1328125" bestFit="1" customWidth="1"/>
    <col min="14341" max="14341" width="23.59765625" bestFit="1" customWidth="1"/>
    <col min="14592" max="14592" width="17.86328125" customWidth="1"/>
    <col min="14593" max="14593" width="25" bestFit="1" customWidth="1"/>
    <col min="14594" max="14594" width="24.86328125" bestFit="1" customWidth="1"/>
    <col min="14595" max="14595" width="34.3984375" bestFit="1" customWidth="1"/>
    <col min="14596" max="14596" width="22.1328125" bestFit="1" customWidth="1"/>
    <col min="14597" max="14597" width="23.59765625" bestFit="1" customWidth="1"/>
    <col min="14848" max="14848" width="17.86328125" customWidth="1"/>
    <col min="14849" max="14849" width="25" bestFit="1" customWidth="1"/>
    <col min="14850" max="14850" width="24.86328125" bestFit="1" customWidth="1"/>
    <col min="14851" max="14851" width="34.3984375" bestFit="1" customWidth="1"/>
    <col min="14852" max="14852" width="22.1328125" bestFit="1" customWidth="1"/>
    <col min="14853" max="14853" width="23.59765625" bestFit="1" customWidth="1"/>
    <col min="15104" max="15104" width="17.86328125" customWidth="1"/>
    <col min="15105" max="15105" width="25" bestFit="1" customWidth="1"/>
    <col min="15106" max="15106" width="24.86328125" bestFit="1" customWidth="1"/>
    <col min="15107" max="15107" width="34.3984375" bestFit="1" customWidth="1"/>
    <col min="15108" max="15108" width="22.1328125" bestFit="1" customWidth="1"/>
    <col min="15109" max="15109" width="23.59765625" bestFit="1" customWidth="1"/>
    <col min="15360" max="15360" width="17.86328125" customWidth="1"/>
    <col min="15361" max="15361" width="25" bestFit="1" customWidth="1"/>
    <col min="15362" max="15362" width="24.86328125" bestFit="1" customWidth="1"/>
    <col min="15363" max="15363" width="34.3984375" bestFit="1" customWidth="1"/>
    <col min="15364" max="15364" width="22.1328125" bestFit="1" customWidth="1"/>
    <col min="15365" max="15365" width="23.59765625" bestFit="1" customWidth="1"/>
    <col min="15616" max="15616" width="17.86328125" customWidth="1"/>
    <col min="15617" max="15617" width="25" bestFit="1" customWidth="1"/>
    <col min="15618" max="15618" width="24.86328125" bestFit="1" customWidth="1"/>
    <col min="15619" max="15619" width="34.3984375" bestFit="1" customWidth="1"/>
    <col min="15620" max="15620" width="22.1328125" bestFit="1" customWidth="1"/>
    <col min="15621" max="15621" width="23.59765625" bestFit="1" customWidth="1"/>
    <col min="15872" max="15872" width="17.86328125" customWidth="1"/>
    <col min="15873" max="15873" width="25" bestFit="1" customWidth="1"/>
    <col min="15874" max="15874" width="24.86328125" bestFit="1" customWidth="1"/>
    <col min="15875" max="15875" width="34.3984375" bestFit="1" customWidth="1"/>
    <col min="15876" max="15876" width="22.1328125" bestFit="1" customWidth="1"/>
    <col min="15877" max="15877" width="23.59765625" bestFit="1" customWidth="1"/>
    <col min="16128" max="16128" width="17.86328125" customWidth="1"/>
    <col min="16129" max="16129" width="25" bestFit="1" customWidth="1"/>
    <col min="16130" max="16130" width="24.86328125" bestFit="1" customWidth="1"/>
    <col min="16131" max="16131" width="34.3984375" bestFit="1" customWidth="1"/>
    <col min="16132" max="16132" width="22.1328125" bestFit="1" customWidth="1"/>
    <col min="16133" max="16133" width="23.59765625" bestFit="1" customWidth="1"/>
  </cols>
  <sheetData>
    <row r="1" spans="1:6" ht="24" customHeight="1" x14ac:dyDescent="0.7">
      <c r="A1" s="1" t="s">
        <v>250</v>
      </c>
    </row>
    <row r="2" spans="1:6" ht="21" x14ac:dyDescent="0.65">
      <c r="A2" s="54"/>
      <c r="B2" s="54"/>
      <c r="C2" s="54"/>
    </row>
    <row r="3" spans="1:6" ht="18" x14ac:dyDescent="0.55000000000000004">
      <c r="A3" s="55" t="s">
        <v>251</v>
      </c>
      <c r="B3" s="55" t="s">
        <v>252</v>
      </c>
      <c r="C3" s="55" t="s">
        <v>253</v>
      </c>
      <c r="D3" s="55" t="s">
        <v>254</v>
      </c>
      <c r="E3" s="55" t="s">
        <v>255</v>
      </c>
      <c r="F3" s="55" t="s">
        <v>256</v>
      </c>
    </row>
    <row r="4" spans="1:6" ht="18" x14ac:dyDescent="0.55000000000000004">
      <c r="A4" s="56" t="s">
        <v>257</v>
      </c>
      <c r="B4" s="56" t="s">
        <v>258</v>
      </c>
      <c r="C4" s="56" t="s">
        <v>259</v>
      </c>
      <c r="D4" s="56" t="s">
        <v>260</v>
      </c>
      <c r="E4" s="56" t="s">
        <v>261</v>
      </c>
      <c r="F4" s="56" t="s">
        <v>262</v>
      </c>
    </row>
    <row r="5" spans="1:6" ht="18" x14ac:dyDescent="0.55000000000000004">
      <c r="A5" s="56" t="s">
        <v>263</v>
      </c>
      <c r="B5" s="56" t="s">
        <v>264</v>
      </c>
      <c r="C5" s="56" t="s">
        <v>265</v>
      </c>
      <c r="D5" s="56" t="s">
        <v>260</v>
      </c>
      <c r="E5" s="56" t="s">
        <v>266</v>
      </c>
      <c r="F5" s="56" t="s">
        <v>262</v>
      </c>
    </row>
    <row r="6" spans="1:6" ht="18" x14ac:dyDescent="0.55000000000000004">
      <c r="A6" s="56" t="s">
        <v>267</v>
      </c>
      <c r="B6" s="56" t="s">
        <v>268</v>
      </c>
      <c r="C6" s="56" t="s">
        <v>269</v>
      </c>
      <c r="D6" s="56" t="s">
        <v>270</v>
      </c>
      <c r="E6" s="56" t="s">
        <v>260</v>
      </c>
      <c r="F6" s="56" t="s">
        <v>271</v>
      </c>
    </row>
    <row r="7" spans="1:6" ht="18" x14ac:dyDescent="0.55000000000000004">
      <c r="A7" s="56" t="s">
        <v>272</v>
      </c>
      <c r="B7" s="56" t="s">
        <v>273</v>
      </c>
      <c r="C7" s="56" t="s">
        <v>274</v>
      </c>
      <c r="D7" s="56" t="s">
        <v>275</v>
      </c>
      <c r="E7" s="56" t="s">
        <v>276</v>
      </c>
      <c r="F7" s="56" t="s">
        <v>277</v>
      </c>
    </row>
    <row r="8" spans="1:6" ht="18" x14ac:dyDescent="0.55000000000000004">
      <c r="A8" s="56" t="s">
        <v>278</v>
      </c>
      <c r="B8" s="56" t="s">
        <v>279</v>
      </c>
      <c r="C8" s="56" t="s">
        <v>280</v>
      </c>
      <c r="D8" s="56" t="s">
        <v>281</v>
      </c>
      <c r="E8" s="56" t="s">
        <v>260</v>
      </c>
      <c r="F8" s="56" t="s">
        <v>262</v>
      </c>
    </row>
    <row r="9" spans="1:6" ht="18" x14ac:dyDescent="0.55000000000000004">
      <c r="A9" s="56" t="s">
        <v>282</v>
      </c>
      <c r="B9" s="56" t="s">
        <v>283</v>
      </c>
      <c r="C9" s="56" t="s">
        <v>284</v>
      </c>
      <c r="D9" s="56" t="s">
        <v>285</v>
      </c>
      <c r="E9" s="56" t="s">
        <v>286</v>
      </c>
      <c r="F9" s="56" t="s">
        <v>287</v>
      </c>
    </row>
    <row r="10" spans="1:6" ht="18" x14ac:dyDescent="0.55000000000000004">
      <c r="A10" s="56" t="s">
        <v>288</v>
      </c>
      <c r="B10" s="56" t="s">
        <v>289</v>
      </c>
      <c r="C10" s="56" t="s">
        <v>260</v>
      </c>
      <c r="D10" s="56" t="s">
        <v>290</v>
      </c>
      <c r="E10" s="56" t="s">
        <v>260</v>
      </c>
      <c r="F10" s="56" t="s">
        <v>262</v>
      </c>
    </row>
    <row r="11" spans="1:6" ht="18" x14ac:dyDescent="0.55000000000000004">
      <c r="A11" s="56" t="s">
        <v>291</v>
      </c>
      <c r="B11" s="56" t="s">
        <v>292</v>
      </c>
      <c r="C11" s="56" t="s">
        <v>293</v>
      </c>
      <c r="D11" s="56" t="s">
        <v>294</v>
      </c>
      <c r="E11" s="56" t="s">
        <v>295</v>
      </c>
      <c r="F11" s="56" t="s">
        <v>262</v>
      </c>
    </row>
    <row r="12" spans="1:6" ht="18" x14ac:dyDescent="0.55000000000000004">
      <c r="A12" s="56" t="s">
        <v>296</v>
      </c>
      <c r="B12" s="56" t="s">
        <v>297</v>
      </c>
      <c r="C12" s="56" t="s">
        <v>298</v>
      </c>
      <c r="D12" s="56" t="s">
        <v>299</v>
      </c>
      <c r="E12" s="56" t="s">
        <v>260</v>
      </c>
      <c r="F12" s="56" t="s">
        <v>262</v>
      </c>
    </row>
    <row r="13" spans="1:6" ht="18" x14ac:dyDescent="0.55000000000000004">
      <c r="A13" s="56" t="s">
        <v>300</v>
      </c>
      <c r="B13" s="56" t="s">
        <v>301</v>
      </c>
      <c r="C13" s="56" t="s">
        <v>302</v>
      </c>
      <c r="D13" s="56" t="s">
        <v>303</v>
      </c>
      <c r="E13" s="56" t="s">
        <v>260</v>
      </c>
      <c r="F13" s="56" t="s">
        <v>262</v>
      </c>
    </row>
    <row r="14" spans="1:6" ht="18" x14ac:dyDescent="0.55000000000000004">
      <c r="A14" s="56" t="s">
        <v>304</v>
      </c>
      <c r="B14" s="56" t="s">
        <v>305</v>
      </c>
      <c r="C14" s="56" t="s">
        <v>306</v>
      </c>
      <c r="D14" s="56" t="s">
        <v>307</v>
      </c>
      <c r="E14" s="56" t="s">
        <v>308</v>
      </c>
      <c r="F14" s="56" t="s">
        <v>262</v>
      </c>
    </row>
    <row r="15" spans="1:6" ht="18" x14ac:dyDescent="0.55000000000000004">
      <c r="A15" s="56" t="s">
        <v>309</v>
      </c>
      <c r="B15" s="56" t="s">
        <v>266</v>
      </c>
      <c r="C15" s="56" t="s">
        <v>310</v>
      </c>
      <c r="D15" s="56" t="s">
        <v>311</v>
      </c>
      <c r="E15" s="56" t="s">
        <v>260</v>
      </c>
      <c r="F15" s="56" t="s">
        <v>312</v>
      </c>
    </row>
    <row r="16" spans="1:6" ht="18" x14ac:dyDescent="0.55000000000000004">
      <c r="A16" s="56" t="s">
        <v>313</v>
      </c>
      <c r="B16" s="56" t="s">
        <v>260</v>
      </c>
      <c r="C16" s="56" t="s">
        <v>260</v>
      </c>
      <c r="D16" s="56" t="s">
        <v>314</v>
      </c>
      <c r="E16" s="56" t="s">
        <v>260</v>
      </c>
      <c r="F16" s="56" t="s">
        <v>315</v>
      </c>
    </row>
    <row r="17" spans="1:6" ht="18" x14ac:dyDescent="0.55000000000000004">
      <c r="A17" s="56" t="s">
        <v>316</v>
      </c>
      <c r="B17" s="56" t="s">
        <v>260</v>
      </c>
      <c r="C17" s="56" t="s">
        <v>260</v>
      </c>
      <c r="D17" s="56" t="s">
        <v>317</v>
      </c>
      <c r="E17" s="56" t="s">
        <v>260</v>
      </c>
      <c r="F17" s="56" t="s">
        <v>262</v>
      </c>
    </row>
    <row r="18" spans="1:6" ht="18" x14ac:dyDescent="0.55000000000000004">
      <c r="A18" s="56" t="s">
        <v>318</v>
      </c>
      <c r="B18" s="56" t="s">
        <v>260</v>
      </c>
      <c r="C18" s="56" t="s">
        <v>260</v>
      </c>
      <c r="D18" s="56" t="s">
        <v>319</v>
      </c>
      <c r="E18" s="56" t="s">
        <v>260</v>
      </c>
      <c r="F18" s="56" t="s">
        <v>262</v>
      </c>
    </row>
    <row r="19" spans="1:6" ht="18" x14ac:dyDescent="0.55000000000000004">
      <c r="A19" s="56" t="s">
        <v>320</v>
      </c>
      <c r="B19" s="56" t="s">
        <v>260</v>
      </c>
      <c r="C19" s="56" t="s">
        <v>260</v>
      </c>
      <c r="D19" s="56" t="s">
        <v>321</v>
      </c>
      <c r="E19" s="56" t="s">
        <v>322</v>
      </c>
      <c r="F19" s="56" t="s">
        <v>262</v>
      </c>
    </row>
    <row r="20" spans="1:6" ht="18" x14ac:dyDescent="0.55000000000000004">
      <c r="A20" s="56" t="s">
        <v>323</v>
      </c>
      <c r="B20" s="56" t="s">
        <v>260</v>
      </c>
      <c r="C20" s="56" t="s">
        <v>260</v>
      </c>
      <c r="D20" s="56" t="s">
        <v>260</v>
      </c>
      <c r="E20" s="56" t="s">
        <v>324</v>
      </c>
      <c r="F20" s="56" t="s">
        <v>262</v>
      </c>
    </row>
    <row r="21" spans="1:6" ht="18" x14ac:dyDescent="0.55000000000000004">
      <c r="A21" s="56" t="s">
        <v>325</v>
      </c>
      <c r="B21" s="56" t="s">
        <v>260</v>
      </c>
      <c r="C21" s="56" t="s">
        <v>260</v>
      </c>
      <c r="D21" s="56" t="s">
        <v>280</v>
      </c>
      <c r="E21" s="56" t="s">
        <v>326</v>
      </c>
      <c r="F21" s="56" t="s">
        <v>327</v>
      </c>
    </row>
    <row r="22" spans="1:6" ht="18" x14ac:dyDescent="0.55000000000000004">
      <c r="A22" s="56" t="s">
        <v>328</v>
      </c>
      <c r="B22" s="56" t="s">
        <v>260</v>
      </c>
      <c r="C22" s="56" t="s">
        <v>260</v>
      </c>
      <c r="D22" s="56" t="s">
        <v>279</v>
      </c>
      <c r="E22" s="56" t="s">
        <v>260</v>
      </c>
      <c r="F22" s="56" t="s">
        <v>262</v>
      </c>
    </row>
    <row r="23" spans="1:6" ht="18" x14ac:dyDescent="0.55000000000000004">
      <c r="A23" s="56" t="s">
        <v>329</v>
      </c>
      <c r="B23" s="56" t="s">
        <v>260</v>
      </c>
      <c r="C23" s="56" t="s">
        <v>260</v>
      </c>
      <c r="D23" s="56" t="s">
        <v>330</v>
      </c>
      <c r="E23" s="56" t="s">
        <v>331</v>
      </c>
      <c r="F23" s="56" t="s">
        <v>262</v>
      </c>
    </row>
    <row r="24" spans="1:6" ht="18" x14ac:dyDescent="0.55000000000000004">
      <c r="A24" s="56" t="s">
        <v>332</v>
      </c>
      <c r="B24" s="56" t="s">
        <v>260</v>
      </c>
      <c r="C24" s="56" t="s">
        <v>260</v>
      </c>
      <c r="D24" s="56" t="s">
        <v>333</v>
      </c>
      <c r="E24" s="56" t="s">
        <v>334</v>
      </c>
      <c r="F24" s="56" t="s">
        <v>262</v>
      </c>
    </row>
    <row r="25" spans="1:6" ht="18" x14ac:dyDescent="0.55000000000000004">
      <c r="A25" s="56" t="s">
        <v>335</v>
      </c>
      <c r="B25" s="56" t="s">
        <v>260</v>
      </c>
      <c r="C25" s="56" t="s">
        <v>260</v>
      </c>
      <c r="D25" s="56" t="s">
        <v>260</v>
      </c>
      <c r="E25" s="56" t="s">
        <v>260</v>
      </c>
      <c r="F25" s="56" t="s">
        <v>262</v>
      </c>
    </row>
    <row r="26" spans="1:6" ht="18" x14ac:dyDescent="0.55000000000000004">
      <c r="A26" s="56" t="s">
        <v>336</v>
      </c>
      <c r="B26" s="56" t="s">
        <v>260</v>
      </c>
      <c r="C26" s="56" t="s">
        <v>260</v>
      </c>
      <c r="D26" s="56" t="s">
        <v>337</v>
      </c>
      <c r="E26" s="56" t="s">
        <v>260</v>
      </c>
      <c r="F26" s="56" t="s">
        <v>262</v>
      </c>
    </row>
    <row r="27" spans="1:6" ht="18" x14ac:dyDescent="0.55000000000000004">
      <c r="A27" s="56" t="s">
        <v>338</v>
      </c>
      <c r="B27" s="56" t="s">
        <v>260</v>
      </c>
      <c r="C27" s="56" t="s">
        <v>260</v>
      </c>
      <c r="D27" s="56" t="s">
        <v>260</v>
      </c>
      <c r="E27" s="56" t="s">
        <v>260</v>
      </c>
      <c r="F27" s="56" t="s">
        <v>262</v>
      </c>
    </row>
    <row r="28" spans="1:6" ht="18" x14ac:dyDescent="0.55000000000000004">
      <c r="A28" s="56" t="s">
        <v>339</v>
      </c>
      <c r="B28" s="56" t="s">
        <v>260</v>
      </c>
      <c r="C28" s="56" t="s">
        <v>260</v>
      </c>
      <c r="D28" s="56" t="s">
        <v>260</v>
      </c>
      <c r="E28" s="56" t="s">
        <v>260</v>
      </c>
      <c r="F28" s="56" t="s">
        <v>262</v>
      </c>
    </row>
    <row r="29" spans="1:6" ht="18" x14ac:dyDescent="0.55000000000000004">
      <c r="A29" s="56" t="s">
        <v>340</v>
      </c>
      <c r="B29" s="56" t="s">
        <v>260</v>
      </c>
      <c r="C29" s="56" t="s">
        <v>260</v>
      </c>
      <c r="D29" s="56" t="s">
        <v>341</v>
      </c>
      <c r="E29" s="56" t="s">
        <v>260</v>
      </c>
      <c r="F29" s="56" t="s">
        <v>262</v>
      </c>
    </row>
    <row r="30" spans="1:6" ht="18" x14ac:dyDescent="0.55000000000000004">
      <c r="A30" s="56" t="s">
        <v>342</v>
      </c>
      <c r="B30" s="56" t="s">
        <v>260</v>
      </c>
      <c r="C30" s="56" t="s">
        <v>260</v>
      </c>
      <c r="D30" s="56" t="s">
        <v>343</v>
      </c>
      <c r="E30" s="56" t="s">
        <v>344</v>
      </c>
      <c r="F30" s="56" t="s">
        <v>345</v>
      </c>
    </row>
    <row r="31" spans="1:6" ht="18" x14ac:dyDescent="0.55000000000000004">
      <c r="A31" s="56" t="s">
        <v>346</v>
      </c>
      <c r="B31" s="56" t="s">
        <v>260</v>
      </c>
      <c r="C31" s="56" t="s">
        <v>260</v>
      </c>
      <c r="D31" s="56" t="s">
        <v>347</v>
      </c>
      <c r="E31" s="56" t="s">
        <v>260</v>
      </c>
      <c r="F31" s="56" t="s">
        <v>348</v>
      </c>
    </row>
    <row r="32" spans="1:6" ht="18" x14ac:dyDescent="0.55000000000000004">
      <c r="A32" s="56" t="s">
        <v>349</v>
      </c>
      <c r="B32" s="56" t="s">
        <v>260</v>
      </c>
      <c r="C32" s="56" t="s">
        <v>260</v>
      </c>
      <c r="D32" s="56" t="s">
        <v>260</v>
      </c>
      <c r="E32" s="56" t="s">
        <v>260</v>
      </c>
      <c r="F32" s="56" t="s">
        <v>262</v>
      </c>
    </row>
    <row r="33" spans="1:6" ht="18" x14ac:dyDescent="0.55000000000000004">
      <c r="A33" s="56" t="s">
        <v>350</v>
      </c>
      <c r="B33" s="56" t="s">
        <v>260</v>
      </c>
      <c r="C33" s="56" t="s">
        <v>260</v>
      </c>
      <c r="D33" s="56" t="s">
        <v>351</v>
      </c>
      <c r="E33" s="56" t="s">
        <v>260</v>
      </c>
      <c r="F33" s="56" t="s">
        <v>262</v>
      </c>
    </row>
    <row r="34" spans="1:6" ht="18" x14ac:dyDescent="0.55000000000000004">
      <c r="A34" s="56" t="s">
        <v>352</v>
      </c>
      <c r="B34" s="56" t="s">
        <v>260</v>
      </c>
      <c r="C34" s="56" t="s">
        <v>260</v>
      </c>
      <c r="D34" s="56" t="s">
        <v>310</v>
      </c>
      <c r="E34" s="56" t="s">
        <v>260</v>
      </c>
      <c r="F34" s="56" t="s">
        <v>262</v>
      </c>
    </row>
    <row r="35" spans="1:6" ht="18" x14ac:dyDescent="0.55000000000000004">
      <c r="A35" s="56" t="s">
        <v>353</v>
      </c>
      <c r="B35" s="56" t="s">
        <v>260</v>
      </c>
      <c r="C35" s="56" t="s">
        <v>260</v>
      </c>
      <c r="D35" s="56" t="s">
        <v>260</v>
      </c>
      <c r="E35" s="56" t="s">
        <v>354</v>
      </c>
      <c r="F35" s="56" t="s">
        <v>262</v>
      </c>
    </row>
    <row r="36" spans="1:6" ht="18" x14ac:dyDescent="0.55000000000000004">
      <c r="A36" s="56" t="s">
        <v>355</v>
      </c>
      <c r="B36" s="56" t="s">
        <v>260</v>
      </c>
      <c r="C36" s="56" t="s">
        <v>260</v>
      </c>
      <c r="D36" s="56" t="s">
        <v>356</v>
      </c>
      <c r="E36" s="56" t="s">
        <v>260</v>
      </c>
      <c r="F36" s="56" t="s">
        <v>262</v>
      </c>
    </row>
    <row r="37" spans="1:6" ht="18" x14ac:dyDescent="0.55000000000000004">
      <c r="A37" s="56" t="s">
        <v>357</v>
      </c>
      <c r="B37" s="56" t="s">
        <v>260</v>
      </c>
      <c r="C37" s="56" t="s">
        <v>260</v>
      </c>
      <c r="D37" s="56" t="s">
        <v>358</v>
      </c>
      <c r="E37" s="56" t="s">
        <v>260</v>
      </c>
      <c r="F37" s="56" t="s">
        <v>262</v>
      </c>
    </row>
    <row r="38" spans="1:6" ht="18" x14ac:dyDescent="0.55000000000000004">
      <c r="A38" s="56" t="s">
        <v>359</v>
      </c>
      <c r="B38" s="56" t="s">
        <v>260</v>
      </c>
      <c r="C38" s="56" t="s">
        <v>260</v>
      </c>
      <c r="D38" s="56" t="s">
        <v>360</v>
      </c>
      <c r="E38" s="56" t="s">
        <v>361</v>
      </c>
      <c r="F38" s="56" t="s">
        <v>262</v>
      </c>
    </row>
    <row r="39" spans="1:6" ht="18" x14ac:dyDescent="0.55000000000000004">
      <c r="A39" s="56" t="s">
        <v>362</v>
      </c>
      <c r="B39" s="56" t="s">
        <v>260</v>
      </c>
      <c r="C39" s="56" t="s">
        <v>260</v>
      </c>
      <c r="D39" s="56" t="s">
        <v>363</v>
      </c>
      <c r="E39" s="56" t="s">
        <v>260</v>
      </c>
      <c r="F39" s="56" t="s">
        <v>262</v>
      </c>
    </row>
    <row r="40" spans="1:6" ht="18" x14ac:dyDescent="0.55000000000000004">
      <c r="A40" s="56" t="s">
        <v>364</v>
      </c>
      <c r="B40" s="56" t="s">
        <v>260</v>
      </c>
      <c r="C40" s="56" t="s">
        <v>260</v>
      </c>
      <c r="D40" s="56" t="s">
        <v>365</v>
      </c>
      <c r="E40" s="56" t="s">
        <v>260</v>
      </c>
      <c r="F40" s="56" t="s">
        <v>262</v>
      </c>
    </row>
    <row r="41" spans="1:6" ht="18" x14ac:dyDescent="0.55000000000000004">
      <c r="A41" s="56" t="s">
        <v>366</v>
      </c>
      <c r="B41" s="56" t="s">
        <v>260</v>
      </c>
      <c r="C41" s="56" t="s">
        <v>260</v>
      </c>
      <c r="D41" s="56" t="s">
        <v>367</v>
      </c>
      <c r="E41" s="56" t="s">
        <v>260</v>
      </c>
      <c r="F41" s="56" t="s">
        <v>262</v>
      </c>
    </row>
    <row r="42" spans="1:6" ht="18" x14ac:dyDescent="0.55000000000000004">
      <c r="A42" s="56" t="s">
        <v>368</v>
      </c>
      <c r="B42" s="56" t="s">
        <v>260</v>
      </c>
      <c r="C42" s="56" t="s">
        <v>260</v>
      </c>
      <c r="D42" s="56" t="s">
        <v>369</v>
      </c>
      <c r="E42" s="56" t="s">
        <v>260</v>
      </c>
      <c r="F42" s="56" t="s">
        <v>370</v>
      </c>
    </row>
    <row r="43" spans="1:6" ht="18" x14ac:dyDescent="0.55000000000000004">
      <c r="A43" s="56" t="s">
        <v>371</v>
      </c>
      <c r="B43" s="56" t="s">
        <v>260</v>
      </c>
      <c r="C43" s="56" t="s">
        <v>260</v>
      </c>
      <c r="D43" s="56" t="s">
        <v>372</v>
      </c>
      <c r="E43" s="56" t="s">
        <v>260</v>
      </c>
      <c r="F43" s="56" t="s">
        <v>373</v>
      </c>
    </row>
    <row r="44" spans="1:6" ht="18" x14ac:dyDescent="0.55000000000000004">
      <c r="A44" s="56" t="s">
        <v>374</v>
      </c>
      <c r="B44" s="56" t="s">
        <v>260</v>
      </c>
      <c r="C44" s="56" t="s">
        <v>260</v>
      </c>
      <c r="D44" s="56" t="s">
        <v>375</v>
      </c>
      <c r="E44" s="56" t="s">
        <v>260</v>
      </c>
      <c r="F44" s="56" t="s">
        <v>376</v>
      </c>
    </row>
    <row r="45" spans="1:6" ht="18" x14ac:dyDescent="0.55000000000000004">
      <c r="A45" s="56" t="s">
        <v>377</v>
      </c>
      <c r="B45" s="56" t="s">
        <v>260</v>
      </c>
      <c r="C45" s="56" t="s">
        <v>260</v>
      </c>
      <c r="D45" s="56" t="s">
        <v>378</v>
      </c>
      <c r="E45" s="56" t="s">
        <v>260</v>
      </c>
      <c r="F45" s="56" t="s">
        <v>379</v>
      </c>
    </row>
    <row r="46" spans="1:6" ht="18" x14ac:dyDescent="0.55000000000000004">
      <c r="A46" s="56" t="s">
        <v>380</v>
      </c>
      <c r="B46" s="56" t="s">
        <v>260</v>
      </c>
      <c r="C46" s="56" t="s">
        <v>260</v>
      </c>
      <c r="D46" s="56" t="s">
        <v>381</v>
      </c>
      <c r="E46" s="56" t="s">
        <v>260</v>
      </c>
      <c r="F46" s="56" t="s">
        <v>382</v>
      </c>
    </row>
    <row r="47" spans="1:6" ht="18" x14ac:dyDescent="0.55000000000000004">
      <c r="A47" s="56" t="s">
        <v>383</v>
      </c>
      <c r="B47" s="56" t="s">
        <v>260</v>
      </c>
      <c r="C47" s="56" t="s">
        <v>260</v>
      </c>
      <c r="D47" s="56" t="s">
        <v>384</v>
      </c>
      <c r="E47" s="56" t="s">
        <v>260</v>
      </c>
      <c r="F47" s="56" t="s">
        <v>385</v>
      </c>
    </row>
    <row r="48" spans="1:6" ht="18" x14ac:dyDescent="0.55000000000000004">
      <c r="A48" s="56" t="s">
        <v>386</v>
      </c>
      <c r="B48" s="56" t="s">
        <v>260</v>
      </c>
      <c r="C48" s="56" t="s">
        <v>260</v>
      </c>
      <c r="D48" s="56" t="s">
        <v>387</v>
      </c>
      <c r="E48" s="56" t="s">
        <v>260</v>
      </c>
      <c r="F48" s="56" t="s">
        <v>388</v>
      </c>
    </row>
    <row r="49" spans="1:6" ht="18" x14ac:dyDescent="0.55000000000000004">
      <c r="A49" s="56" t="s">
        <v>389</v>
      </c>
      <c r="B49" s="56" t="s">
        <v>260</v>
      </c>
      <c r="C49" s="56" t="s">
        <v>260</v>
      </c>
      <c r="D49" s="56" t="s">
        <v>390</v>
      </c>
      <c r="E49" s="56" t="s">
        <v>260</v>
      </c>
      <c r="F49" s="56" t="s">
        <v>391</v>
      </c>
    </row>
    <row r="50" spans="1:6" ht="18" x14ac:dyDescent="0.55000000000000004">
      <c r="A50" s="56" t="s">
        <v>392</v>
      </c>
      <c r="B50" s="56" t="s">
        <v>260</v>
      </c>
      <c r="C50" s="56" t="s">
        <v>260</v>
      </c>
      <c r="D50" s="56" t="s">
        <v>393</v>
      </c>
      <c r="E50" s="56" t="s">
        <v>260</v>
      </c>
      <c r="F50" s="56" t="s">
        <v>394</v>
      </c>
    </row>
    <row r="51" spans="1:6" ht="18" x14ac:dyDescent="0.55000000000000004">
      <c r="A51" s="56" t="s">
        <v>395</v>
      </c>
      <c r="B51" s="56" t="s">
        <v>260</v>
      </c>
      <c r="C51" s="56" t="s">
        <v>260</v>
      </c>
      <c r="D51" s="56" t="s">
        <v>396</v>
      </c>
      <c r="E51" s="56" t="s">
        <v>260</v>
      </c>
      <c r="F51" s="56" t="s">
        <v>397</v>
      </c>
    </row>
    <row r="52" spans="1:6" ht="18" x14ac:dyDescent="0.55000000000000004">
      <c r="A52" s="56" t="s">
        <v>398</v>
      </c>
      <c r="B52" s="56" t="s">
        <v>260</v>
      </c>
      <c r="C52" s="56" t="s">
        <v>260</v>
      </c>
      <c r="D52" s="56" t="s">
        <v>399</v>
      </c>
      <c r="E52" s="56" t="s">
        <v>260</v>
      </c>
      <c r="F52" s="56" t="s">
        <v>400</v>
      </c>
    </row>
    <row r="53" spans="1:6" ht="18" x14ac:dyDescent="0.55000000000000004">
      <c r="A53" s="56" t="s">
        <v>401</v>
      </c>
      <c r="B53" s="56" t="s">
        <v>260</v>
      </c>
      <c r="C53" s="56" t="s">
        <v>260</v>
      </c>
      <c r="D53" s="56" t="s">
        <v>402</v>
      </c>
      <c r="E53" s="56" t="s">
        <v>403</v>
      </c>
      <c r="F53" s="56" t="s">
        <v>404</v>
      </c>
    </row>
    <row r="54" spans="1:6" ht="18" x14ac:dyDescent="0.55000000000000004">
      <c r="A54" s="56" t="s">
        <v>405</v>
      </c>
      <c r="B54" s="56" t="s">
        <v>406</v>
      </c>
      <c r="C54" s="56" t="s">
        <v>260</v>
      </c>
      <c r="D54" s="56" t="s">
        <v>297</v>
      </c>
      <c r="E54" s="56" t="s">
        <v>407</v>
      </c>
      <c r="F54" s="56" t="s">
        <v>408</v>
      </c>
    </row>
    <row r="55" spans="1:6" ht="18" x14ac:dyDescent="0.55000000000000004">
      <c r="A55" s="56" t="s">
        <v>409</v>
      </c>
      <c r="B55" s="56" t="s">
        <v>260</v>
      </c>
      <c r="C55" s="56" t="s">
        <v>260</v>
      </c>
      <c r="D55" s="56" t="s">
        <v>410</v>
      </c>
      <c r="E55" s="56" t="s">
        <v>260</v>
      </c>
      <c r="F55" s="56" t="s">
        <v>411</v>
      </c>
    </row>
    <row r="56" spans="1:6" ht="18" x14ac:dyDescent="0.55000000000000004">
      <c r="A56" s="56" t="s">
        <v>412</v>
      </c>
      <c r="B56" s="56" t="s">
        <v>260</v>
      </c>
      <c r="C56" s="56" t="s">
        <v>260</v>
      </c>
      <c r="D56" s="56" t="s">
        <v>413</v>
      </c>
      <c r="E56" s="56" t="s">
        <v>260</v>
      </c>
      <c r="F56" s="56" t="s">
        <v>414</v>
      </c>
    </row>
    <row r="57" spans="1:6" ht="18" x14ac:dyDescent="0.55000000000000004">
      <c r="A57" s="56" t="s">
        <v>415</v>
      </c>
      <c r="B57" s="56" t="s">
        <v>260</v>
      </c>
      <c r="C57" s="56" t="s">
        <v>260</v>
      </c>
      <c r="D57" s="56" t="s">
        <v>416</v>
      </c>
      <c r="E57" s="56" t="s">
        <v>417</v>
      </c>
      <c r="F57" s="56" t="s">
        <v>418</v>
      </c>
    </row>
    <row r="58" spans="1:6" ht="18" x14ac:dyDescent="0.55000000000000004">
      <c r="A58" s="56" t="s">
        <v>419</v>
      </c>
      <c r="B58" s="56" t="s">
        <v>260</v>
      </c>
      <c r="C58" s="56" t="s">
        <v>260</v>
      </c>
      <c r="D58" s="56" t="s">
        <v>420</v>
      </c>
      <c r="E58" s="56" t="s">
        <v>421</v>
      </c>
      <c r="F58" s="56" t="s">
        <v>422</v>
      </c>
    </row>
    <row r="59" spans="1:6" ht="18" x14ac:dyDescent="0.55000000000000004">
      <c r="A59" s="56" t="s">
        <v>423</v>
      </c>
      <c r="B59" s="56" t="s">
        <v>260</v>
      </c>
      <c r="C59" s="56" t="s">
        <v>260</v>
      </c>
      <c r="D59" s="56" t="s">
        <v>424</v>
      </c>
      <c r="E59" s="56" t="s">
        <v>260</v>
      </c>
      <c r="F59" s="56" t="s">
        <v>262</v>
      </c>
    </row>
    <row r="60" spans="1:6" ht="18" x14ac:dyDescent="0.55000000000000004">
      <c r="A60" s="56" t="s">
        <v>425</v>
      </c>
      <c r="B60" s="56" t="s">
        <v>260</v>
      </c>
      <c r="C60" s="56" t="s">
        <v>260</v>
      </c>
      <c r="D60" s="56" t="s">
        <v>426</v>
      </c>
      <c r="E60" s="56" t="s">
        <v>260</v>
      </c>
      <c r="F60" s="56" t="s">
        <v>427</v>
      </c>
    </row>
    <row r="61" spans="1:6" ht="18" x14ac:dyDescent="0.55000000000000004">
      <c r="A61" s="56" t="s">
        <v>428</v>
      </c>
      <c r="B61" s="56" t="s">
        <v>260</v>
      </c>
      <c r="C61" s="56" t="s">
        <v>260</v>
      </c>
      <c r="D61" s="56" t="s">
        <v>429</v>
      </c>
      <c r="E61" s="56" t="s">
        <v>260</v>
      </c>
      <c r="F61" s="56" t="s">
        <v>430</v>
      </c>
    </row>
    <row r="62" spans="1:6" ht="18" x14ac:dyDescent="0.55000000000000004">
      <c r="A62" s="56" t="s">
        <v>431</v>
      </c>
      <c r="B62" s="56" t="s">
        <v>432</v>
      </c>
      <c r="C62" s="56" t="s">
        <v>260</v>
      </c>
      <c r="D62" s="56" t="s">
        <v>319</v>
      </c>
      <c r="E62" s="56" t="s">
        <v>260</v>
      </c>
      <c r="F62" s="56" t="s">
        <v>262</v>
      </c>
    </row>
    <row r="63" spans="1:6" ht="18" x14ac:dyDescent="0.55000000000000004">
      <c r="A63" s="56" t="s">
        <v>433</v>
      </c>
      <c r="B63" s="56" t="s">
        <v>434</v>
      </c>
      <c r="C63" s="56" t="s">
        <v>260</v>
      </c>
      <c r="D63" s="56" t="s">
        <v>435</v>
      </c>
      <c r="E63" s="56" t="s">
        <v>260</v>
      </c>
      <c r="F63" s="56" t="s">
        <v>262</v>
      </c>
    </row>
    <row r="64" spans="1:6" ht="18" x14ac:dyDescent="0.55000000000000004">
      <c r="A64" s="56" t="s">
        <v>436</v>
      </c>
      <c r="B64" s="56" t="s">
        <v>437</v>
      </c>
      <c r="C64" s="56" t="s">
        <v>260</v>
      </c>
      <c r="D64" s="56" t="s">
        <v>438</v>
      </c>
      <c r="E64" s="56" t="s">
        <v>260</v>
      </c>
      <c r="F64" s="56" t="s">
        <v>262</v>
      </c>
    </row>
    <row r="65" spans="1:6" ht="18" x14ac:dyDescent="0.55000000000000004">
      <c r="A65" s="56" t="s">
        <v>439</v>
      </c>
      <c r="B65" s="56" t="s">
        <v>440</v>
      </c>
      <c r="C65" s="56" t="s">
        <v>260</v>
      </c>
      <c r="D65" s="56" t="s">
        <v>441</v>
      </c>
      <c r="E65" s="56" t="s">
        <v>260</v>
      </c>
      <c r="F65" s="56" t="s">
        <v>262</v>
      </c>
    </row>
    <row r="66" spans="1:6" ht="18" x14ac:dyDescent="0.55000000000000004">
      <c r="A66" s="56" t="s">
        <v>442</v>
      </c>
      <c r="B66" s="56" t="s">
        <v>442</v>
      </c>
      <c r="C66" s="56" t="s">
        <v>260</v>
      </c>
      <c r="D66" s="56" t="s">
        <v>443</v>
      </c>
      <c r="E66" s="56" t="s">
        <v>444</v>
      </c>
      <c r="F66" s="56" t="s">
        <v>262</v>
      </c>
    </row>
    <row r="67" spans="1:6" ht="18" x14ac:dyDescent="0.55000000000000004">
      <c r="A67" s="56" t="s">
        <v>445</v>
      </c>
      <c r="B67" s="56" t="s">
        <v>445</v>
      </c>
      <c r="C67" s="56" t="s">
        <v>260</v>
      </c>
      <c r="D67" s="56" t="s">
        <v>446</v>
      </c>
      <c r="E67" s="56" t="s">
        <v>447</v>
      </c>
      <c r="F67" s="56" t="s">
        <v>262</v>
      </c>
    </row>
    <row r="68" spans="1:6" ht="18" x14ac:dyDescent="0.55000000000000004">
      <c r="A68" s="56" t="s">
        <v>448</v>
      </c>
      <c r="B68" s="56" t="s">
        <v>449</v>
      </c>
      <c r="C68" s="56" t="s">
        <v>450</v>
      </c>
      <c r="D68" s="56" t="s">
        <v>451</v>
      </c>
      <c r="E68" s="56" t="s">
        <v>260</v>
      </c>
      <c r="F68" s="56" t="s">
        <v>262</v>
      </c>
    </row>
    <row r="69" spans="1:6" ht="18" x14ac:dyDescent="0.55000000000000004">
      <c r="A69" s="56" t="s">
        <v>452</v>
      </c>
      <c r="B69" s="56" t="s">
        <v>453</v>
      </c>
      <c r="C69" s="56" t="s">
        <v>454</v>
      </c>
      <c r="D69" s="56" t="s">
        <v>455</v>
      </c>
      <c r="E69" s="56" t="s">
        <v>260</v>
      </c>
      <c r="F69" s="56" t="s">
        <v>262</v>
      </c>
    </row>
    <row r="70" spans="1:6" ht="18" x14ac:dyDescent="0.55000000000000004">
      <c r="A70" s="56" t="s">
        <v>456</v>
      </c>
      <c r="B70" s="56" t="s">
        <v>457</v>
      </c>
      <c r="C70" s="56" t="s">
        <v>458</v>
      </c>
      <c r="D70" s="56" t="s">
        <v>459</v>
      </c>
      <c r="E70" s="56" t="s">
        <v>260</v>
      </c>
      <c r="F70" s="56" t="s">
        <v>262</v>
      </c>
    </row>
    <row r="71" spans="1:6" ht="18" x14ac:dyDescent="0.55000000000000004">
      <c r="A71" s="56" t="s">
        <v>460</v>
      </c>
      <c r="B71" s="56" t="s">
        <v>461</v>
      </c>
      <c r="C71" s="56" t="s">
        <v>462</v>
      </c>
      <c r="D71" s="56" t="s">
        <v>463</v>
      </c>
      <c r="E71" s="56" t="s">
        <v>464</v>
      </c>
      <c r="F71" s="56" t="s">
        <v>262</v>
      </c>
    </row>
    <row r="72" spans="1:6" ht="18" x14ac:dyDescent="0.55000000000000004">
      <c r="A72" s="56" t="s">
        <v>465</v>
      </c>
      <c r="B72" s="56" t="s">
        <v>466</v>
      </c>
      <c r="C72" s="56" t="s">
        <v>467</v>
      </c>
      <c r="D72" s="56" t="s">
        <v>468</v>
      </c>
      <c r="E72" s="56" t="s">
        <v>469</v>
      </c>
      <c r="F72" s="56" t="s">
        <v>470</v>
      </c>
    </row>
    <row r="73" spans="1:6" ht="18" x14ac:dyDescent="0.55000000000000004">
      <c r="A73" s="56" t="s">
        <v>471</v>
      </c>
      <c r="B73" s="56" t="s">
        <v>453</v>
      </c>
      <c r="C73" s="56" t="s">
        <v>449</v>
      </c>
      <c r="D73" s="56" t="s">
        <v>285</v>
      </c>
      <c r="E73" s="56" t="s">
        <v>472</v>
      </c>
      <c r="F73" s="56" t="s">
        <v>473</v>
      </c>
    </row>
    <row r="74" spans="1:6" ht="18" x14ac:dyDescent="0.55000000000000004">
      <c r="A74" s="56" t="s">
        <v>474</v>
      </c>
      <c r="B74" s="56" t="s">
        <v>260</v>
      </c>
      <c r="C74" s="56" t="s">
        <v>457</v>
      </c>
      <c r="D74" s="56" t="s">
        <v>475</v>
      </c>
      <c r="E74" s="56" t="s">
        <v>476</v>
      </c>
      <c r="F74" s="56" t="s">
        <v>262</v>
      </c>
    </row>
    <row r="75" spans="1:6" ht="18" x14ac:dyDescent="0.55000000000000004">
      <c r="A75" s="56" t="s">
        <v>477</v>
      </c>
      <c r="B75" s="56" t="s">
        <v>260</v>
      </c>
      <c r="C75" s="56" t="s">
        <v>478</v>
      </c>
      <c r="D75" s="56"/>
      <c r="E75" s="56"/>
      <c r="F75" s="56"/>
    </row>
    <row r="76" spans="1:6" ht="18" x14ac:dyDescent="0.55000000000000004">
      <c r="A76" s="56" t="s">
        <v>479</v>
      </c>
      <c r="B76" s="56" t="s">
        <v>480</v>
      </c>
      <c r="C76" s="56" t="s">
        <v>260</v>
      </c>
      <c r="D76" s="56" t="s">
        <v>262</v>
      </c>
      <c r="E76" s="56"/>
      <c r="F76" s="56"/>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9" tint="0.79998168889431442"/>
  </sheetPr>
  <dimension ref="A1:K163"/>
  <sheetViews>
    <sheetView topLeftCell="A42" workbookViewId="0">
      <selection activeCell="J148" sqref="J148"/>
    </sheetView>
  </sheetViews>
  <sheetFormatPr defaultColWidth="9.1328125" defaultRowHeight="18" x14ac:dyDescent="0.55000000000000004"/>
  <cols>
    <col min="1" max="1" width="23.86328125" style="36" customWidth="1"/>
    <col min="2" max="2" width="20.73046875" style="3" customWidth="1"/>
    <col min="3" max="6" width="15.73046875" style="3" customWidth="1"/>
    <col min="7" max="9" width="9.1328125" style="3"/>
    <col min="10" max="10" width="20.73046875" style="8" customWidth="1"/>
    <col min="11" max="11" width="20.73046875" style="3" customWidth="1"/>
    <col min="12" max="16384" width="9.1328125" style="3"/>
  </cols>
  <sheetData>
    <row r="1" spans="1:11" ht="24" customHeight="1" x14ac:dyDescent="0.7">
      <c r="A1" s="1" t="s">
        <v>120</v>
      </c>
      <c r="J1" s="27" t="s">
        <v>124</v>
      </c>
      <c r="K1" s="27" t="s">
        <v>125</v>
      </c>
    </row>
    <row r="2" spans="1:11" x14ac:dyDescent="0.55000000000000004">
      <c r="J2" s="26" t="s">
        <v>126</v>
      </c>
      <c r="K2" s="26" t="s">
        <v>127</v>
      </c>
    </row>
    <row r="3" spans="1:11" x14ac:dyDescent="0.55000000000000004">
      <c r="J3" s="26">
        <v>1</v>
      </c>
      <c r="K3" s="26" t="s">
        <v>128</v>
      </c>
    </row>
    <row r="4" spans="1:11" x14ac:dyDescent="0.55000000000000004">
      <c r="A4" s="2" t="s">
        <v>121</v>
      </c>
      <c r="B4" s="3" t="s">
        <v>122</v>
      </c>
      <c r="J4" s="26">
        <v>2</v>
      </c>
      <c r="K4" s="26" t="s">
        <v>129</v>
      </c>
    </row>
    <row r="5" spans="1:11" x14ac:dyDescent="0.55000000000000004">
      <c r="A5" s="2"/>
      <c r="B5" s="3" t="s">
        <v>123</v>
      </c>
      <c r="J5" s="26">
        <v>3</v>
      </c>
      <c r="K5" s="26" t="s">
        <v>130</v>
      </c>
    </row>
    <row r="6" spans="1:11" x14ac:dyDescent="0.55000000000000004">
      <c r="A6" s="2"/>
      <c r="J6" s="26">
        <v>4</v>
      </c>
      <c r="K6" s="26" t="s">
        <v>131</v>
      </c>
    </row>
    <row r="7" spans="1:11" x14ac:dyDescent="0.55000000000000004">
      <c r="A7" s="2"/>
      <c r="B7" s="3" t="s">
        <v>132</v>
      </c>
      <c r="C7" s="28">
        <v>43101</v>
      </c>
      <c r="E7" s="8" t="s">
        <v>138</v>
      </c>
    </row>
    <row r="8" spans="1:11" x14ac:dyDescent="0.55000000000000004">
      <c r="B8" s="3" t="s">
        <v>133</v>
      </c>
      <c r="C8" s="28">
        <v>43221</v>
      </c>
      <c r="E8" s="22">
        <f>ACCRINT(C7,C8,C9,C11,C10,C12)</f>
        <v>799.99999999999989</v>
      </c>
    </row>
    <row r="9" spans="1:11" x14ac:dyDescent="0.55000000000000004">
      <c r="B9" s="3" t="s">
        <v>134</v>
      </c>
      <c r="C9" s="28">
        <v>43830</v>
      </c>
    </row>
    <row r="10" spans="1:11" x14ac:dyDescent="0.55000000000000004">
      <c r="B10" s="3" t="s">
        <v>135</v>
      </c>
      <c r="C10" s="10">
        <v>10000</v>
      </c>
      <c r="J10" s="29" t="s">
        <v>152</v>
      </c>
      <c r="K10" s="30"/>
    </row>
    <row r="11" spans="1:11" x14ac:dyDescent="0.55000000000000004">
      <c r="B11" s="3" t="s">
        <v>136</v>
      </c>
      <c r="C11" s="9">
        <v>0.04</v>
      </c>
      <c r="J11" s="26">
        <v>1</v>
      </c>
      <c r="K11" s="26" t="s">
        <v>149</v>
      </c>
    </row>
    <row r="12" spans="1:11" x14ac:dyDescent="0.55000000000000004">
      <c r="B12" s="3" t="s">
        <v>137</v>
      </c>
      <c r="C12" s="3">
        <v>4</v>
      </c>
      <c r="J12" s="26">
        <v>2</v>
      </c>
      <c r="K12" s="26" t="s">
        <v>150</v>
      </c>
    </row>
    <row r="13" spans="1:11" x14ac:dyDescent="0.55000000000000004">
      <c r="J13" s="26">
        <v>4</v>
      </c>
      <c r="K13" s="26" t="s">
        <v>151</v>
      </c>
    </row>
    <row r="15" spans="1:11" x14ac:dyDescent="0.55000000000000004">
      <c r="A15" s="2" t="s">
        <v>139</v>
      </c>
      <c r="B15" s="3" t="s">
        <v>140</v>
      </c>
    </row>
    <row r="16" spans="1:11" x14ac:dyDescent="0.55000000000000004">
      <c r="B16" s="3" t="s">
        <v>141</v>
      </c>
    </row>
    <row r="18" spans="1:5" x14ac:dyDescent="0.55000000000000004">
      <c r="B18" s="3" t="s">
        <v>132</v>
      </c>
      <c r="C18" s="28">
        <v>43101</v>
      </c>
      <c r="E18" s="8" t="s">
        <v>138</v>
      </c>
    </row>
    <row r="19" spans="1:5" x14ac:dyDescent="0.55000000000000004">
      <c r="B19" s="3" t="s">
        <v>134</v>
      </c>
      <c r="C19" s="28">
        <v>43830</v>
      </c>
      <c r="E19" s="22">
        <f>ACCRINTM(C18,C19,C21,C20)</f>
        <v>800</v>
      </c>
    </row>
    <row r="20" spans="1:5" x14ac:dyDescent="0.55000000000000004">
      <c r="B20" s="3" t="s">
        <v>135</v>
      </c>
      <c r="C20" s="10">
        <v>10000</v>
      </c>
    </row>
    <row r="21" spans="1:5" x14ac:dyDescent="0.55000000000000004">
      <c r="B21" s="3" t="s">
        <v>136</v>
      </c>
      <c r="C21" s="9">
        <v>0.04</v>
      </c>
    </row>
    <row r="24" spans="1:5" x14ac:dyDescent="0.55000000000000004">
      <c r="A24" s="2" t="s">
        <v>142</v>
      </c>
      <c r="B24" s="3" t="s">
        <v>143</v>
      </c>
    </row>
    <row r="25" spans="1:5" x14ac:dyDescent="0.55000000000000004">
      <c r="B25" s="3" t="s">
        <v>144</v>
      </c>
    </row>
    <row r="27" spans="1:5" x14ac:dyDescent="0.55000000000000004">
      <c r="B27" s="3" t="s">
        <v>134</v>
      </c>
      <c r="C27" s="28">
        <v>43191</v>
      </c>
      <c r="E27" s="3" t="s">
        <v>148</v>
      </c>
    </row>
    <row r="28" spans="1:5" x14ac:dyDescent="0.55000000000000004">
      <c r="B28" s="3" t="s">
        <v>145</v>
      </c>
      <c r="C28" s="28">
        <v>44256</v>
      </c>
      <c r="E28" s="21">
        <f>DISC(C27,C28,C29,C30)</f>
        <v>2.5371428571428593E-2</v>
      </c>
    </row>
    <row r="29" spans="1:5" x14ac:dyDescent="0.55000000000000004">
      <c r="B29" s="3" t="s">
        <v>146</v>
      </c>
      <c r="C29" s="10">
        <v>92.6</v>
      </c>
    </row>
    <row r="30" spans="1:5" x14ac:dyDescent="0.55000000000000004">
      <c r="B30" s="3" t="s">
        <v>147</v>
      </c>
      <c r="C30" s="10">
        <v>100</v>
      </c>
    </row>
    <row r="33" spans="1:5" x14ac:dyDescent="0.55000000000000004">
      <c r="A33" s="2" t="s">
        <v>153</v>
      </c>
      <c r="B33" s="3" t="s">
        <v>154</v>
      </c>
    </row>
    <row r="34" spans="1:5" x14ac:dyDescent="0.55000000000000004">
      <c r="B34" s="3" t="s">
        <v>155</v>
      </c>
    </row>
    <row r="36" spans="1:5" x14ac:dyDescent="0.55000000000000004">
      <c r="B36" s="3" t="s">
        <v>134</v>
      </c>
      <c r="C36" s="28">
        <v>43191</v>
      </c>
      <c r="E36" s="8" t="s">
        <v>159</v>
      </c>
    </row>
    <row r="37" spans="1:5" x14ac:dyDescent="0.55000000000000004">
      <c r="B37" s="3" t="s">
        <v>145</v>
      </c>
      <c r="C37" s="28">
        <v>44286</v>
      </c>
      <c r="E37" s="31">
        <f>DURATION(C36,C37,C38,C39,C40)</f>
        <v>2.6371515856181773</v>
      </c>
    </row>
    <row r="38" spans="1:5" x14ac:dyDescent="0.55000000000000004">
      <c r="B38" s="3" t="s">
        <v>156</v>
      </c>
      <c r="C38" s="32">
        <v>0.1</v>
      </c>
    </row>
    <row r="39" spans="1:5" x14ac:dyDescent="0.55000000000000004">
      <c r="B39" s="3" t="s">
        <v>157</v>
      </c>
      <c r="C39" s="32">
        <v>0.08</v>
      </c>
    </row>
    <row r="40" spans="1:5" x14ac:dyDescent="0.55000000000000004">
      <c r="B40" s="3" t="s">
        <v>158</v>
      </c>
      <c r="C40" s="3">
        <v>4</v>
      </c>
    </row>
    <row r="43" spans="1:5" x14ac:dyDescent="0.55000000000000004">
      <c r="A43" s="2" t="s">
        <v>160</v>
      </c>
      <c r="B43" s="3" t="s">
        <v>161</v>
      </c>
    </row>
    <row r="44" spans="1:5" x14ac:dyDescent="0.55000000000000004">
      <c r="B44" s="3" t="s">
        <v>162</v>
      </c>
    </row>
    <row r="46" spans="1:5" x14ac:dyDescent="0.55000000000000004">
      <c r="B46" s="3" t="s">
        <v>134</v>
      </c>
      <c r="C46" s="28">
        <v>43191</v>
      </c>
      <c r="E46" s="8" t="s">
        <v>165</v>
      </c>
    </row>
    <row r="47" spans="1:5" x14ac:dyDescent="0.55000000000000004">
      <c r="B47" s="3" t="s">
        <v>145</v>
      </c>
      <c r="C47" s="28">
        <v>45016</v>
      </c>
      <c r="E47" s="21">
        <f>INTRATE(C46,C47,C48,C49)</f>
        <v>2.9499999999999998E-2</v>
      </c>
    </row>
    <row r="48" spans="1:5" x14ac:dyDescent="0.55000000000000004">
      <c r="B48" s="3" t="s">
        <v>163</v>
      </c>
      <c r="C48" s="10">
        <v>100000</v>
      </c>
    </row>
    <row r="49" spans="1:5" x14ac:dyDescent="0.55000000000000004">
      <c r="B49" s="3" t="s">
        <v>164</v>
      </c>
      <c r="C49" s="10">
        <v>114750</v>
      </c>
    </row>
    <row r="52" spans="1:5" x14ac:dyDescent="0.55000000000000004">
      <c r="A52" s="2" t="s">
        <v>166</v>
      </c>
      <c r="B52" s="3" t="s">
        <v>167</v>
      </c>
    </row>
    <row r="53" spans="1:5" x14ac:dyDescent="0.55000000000000004">
      <c r="B53" s="3" t="s">
        <v>168</v>
      </c>
    </row>
    <row r="55" spans="1:5" x14ac:dyDescent="0.55000000000000004">
      <c r="B55" s="3" t="s">
        <v>134</v>
      </c>
      <c r="C55" s="28">
        <v>43191</v>
      </c>
      <c r="E55" s="8" t="s">
        <v>159</v>
      </c>
    </row>
    <row r="56" spans="1:5" x14ac:dyDescent="0.55000000000000004">
      <c r="B56" s="3" t="s">
        <v>145</v>
      </c>
      <c r="C56" s="28">
        <v>44286</v>
      </c>
      <c r="E56" s="31">
        <f>MDURATION(C55,C56,C57,C58,C59)</f>
        <v>2.5854427309982131</v>
      </c>
    </row>
    <row r="57" spans="1:5" x14ac:dyDescent="0.55000000000000004">
      <c r="B57" s="3" t="s">
        <v>156</v>
      </c>
      <c r="C57" s="32">
        <v>0.1</v>
      </c>
    </row>
    <row r="58" spans="1:5" x14ac:dyDescent="0.55000000000000004">
      <c r="B58" s="3" t="s">
        <v>157</v>
      </c>
      <c r="C58" s="32">
        <v>0.08</v>
      </c>
    </row>
    <row r="59" spans="1:5" x14ac:dyDescent="0.55000000000000004">
      <c r="B59" s="3" t="s">
        <v>158</v>
      </c>
      <c r="C59" s="3">
        <v>4</v>
      </c>
    </row>
    <row r="62" spans="1:5" x14ac:dyDescent="0.55000000000000004">
      <c r="A62" s="2" t="s">
        <v>174</v>
      </c>
      <c r="B62" s="3" t="s">
        <v>169</v>
      </c>
    </row>
    <row r="63" spans="1:5" x14ac:dyDescent="0.55000000000000004">
      <c r="B63" s="3" t="s">
        <v>170</v>
      </c>
    </row>
    <row r="65" spans="1:5" x14ac:dyDescent="0.55000000000000004">
      <c r="B65" s="3" t="s">
        <v>132</v>
      </c>
      <c r="C65" s="28">
        <v>42705</v>
      </c>
      <c r="E65" s="8" t="s">
        <v>179</v>
      </c>
    </row>
    <row r="66" spans="1:5" x14ac:dyDescent="0.55000000000000004">
      <c r="B66" s="3" t="s">
        <v>171</v>
      </c>
      <c r="C66" s="28">
        <v>42825</v>
      </c>
      <c r="E66" s="22">
        <f>ODDFPRICE(C67,C68,C65,C66,C69,C70,100,C71)</f>
        <v>106.77169500099879</v>
      </c>
    </row>
    <row r="67" spans="1:5" x14ac:dyDescent="0.55000000000000004">
      <c r="B67" s="3" t="s">
        <v>134</v>
      </c>
      <c r="C67" s="28">
        <v>42767</v>
      </c>
    </row>
    <row r="68" spans="1:5" x14ac:dyDescent="0.55000000000000004">
      <c r="B68" s="3" t="s">
        <v>145</v>
      </c>
      <c r="C68" s="28">
        <v>44286</v>
      </c>
    </row>
    <row r="69" spans="1:5" x14ac:dyDescent="0.55000000000000004">
      <c r="B69" s="3" t="s">
        <v>136</v>
      </c>
      <c r="C69" s="9">
        <v>5.5E-2</v>
      </c>
    </row>
    <row r="70" spans="1:5" x14ac:dyDescent="0.55000000000000004">
      <c r="B70" s="3" t="s">
        <v>172</v>
      </c>
      <c r="C70" s="9">
        <v>3.5000000000000003E-2</v>
      </c>
    </row>
    <row r="71" spans="1:5" x14ac:dyDescent="0.55000000000000004">
      <c r="B71" s="3" t="s">
        <v>137</v>
      </c>
      <c r="C71" s="3">
        <v>4</v>
      </c>
    </row>
    <row r="74" spans="1:5" x14ac:dyDescent="0.55000000000000004">
      <c r="A74" s="2" t="s">
        <v>173</v>
      </c>
      <c r="B74" s="3" t="s">
        <v>175</v>
      </c>
    </row>
    <row r="75" spans="1:5" x14ac:dyDescent="0.55000000000000004">
      <c r="B75" s="3" t="s">
        <v>176</v>
      </c>
    </row>
    <row r="77" spans="1:5" x14ac:dyDescent="0.55000000000000004">
      <c r="B77" s="3" t="s">
        <v>132</v>
      </c>
      <c r="C77" s="28">
        <v>42809</v>
      </c>
      <c r="E77" s="8" t="s">
        <v>180</v>
      </c>
    </row>
    <row r="78" spans="1:5" x14ac:dyDescent="0.55000000000000004">
      <c r="B78" s="3" t="s">
        <v>171</v>
      </c>
      <c r="C78" s="28">
        <v>42916</v>
      </c>
      <c r="E78" s="21">
        <f>ODDFYIELD(C79,C80,C77,C78,C81,C82,100,C83)</f>
        <v>4.6508494419026936E-2</v>
      </c>
    </row>
    <row r="79" spans="1:5" x14ac:dyDescent="0.55000000000000004">
      <c r="B79" s="3" t="s">
        <v>134</v>
      </c>
      <c r="C79" s="28">
        <v>42856</v>
      </c>
    </row>
    <row r="80" spans="1:5" x14ac:dyDescent="0.55000000000000004">
      <c r="B80" s="3" t="s">
        <v>145</v>
      </c>
      <c r="C80" s="28">
        <v>44377</v>
      </c>
    </row>
    <row r="81" spans="1:5" x14ac:dyDescent="0.55000000000000004">
      <c r="B81" s="3" t="s">
        <v>184</v>
      </c>
      <c r="C81" s="9">
        <v>5.5E-2</v>
      </c>
    </row>
    <row r="82" spans="1:5" x14ac:dyDescent="0.55000000000000004">
      <c r="B82" s="3" t="s">
        <v>177</v>
      </c>
      <c r="C82" s="3">
        <v>102</v>
      </c>
    </row>
    <row r="83" spans="1:5" x14ac:dyDescent="0.55000000000000004">
      <c r="B83" s="3" t="s">
        <v>137</v>
      </c>
      <c r="C83" s="3">
        <v>4</v>
      </c>
    </row>
    <row r="86" spans="1:5" x14ac:dyDescent="0.55000000000000004">
      <c r="A86" s="2" t="s">
        <v>178</v>
      </c>
      <c r="B86" s="3" t="s">
        <v>181</v>
      </c>
    </row>
    <row r="87" spans="1:5" x14ac:dyDescent="0.55000000000000004">
      <c r="A87" s="2"/>
      <c r="B87" s="3" t="s">
        <v>1247</v>
      </c>
    </row>
    <row r="89" spans="1:5" x14ac:dyDescent="0.55000000000000004">
      <c r="B89" s="3" t="s">
        <v>134</v>
      </c>
      <c r="C89" s="28">
        <v>42840</v>
      </c>
      <c r="E89" s="8" t="s">
        <v>182</v>
      </c>
    </row>
    <row r="90" spans="1:5" x14ac:dyDescent="0.55000000000000004">
      <c r="B90" s="3" t="s">
        <v>145</v>
      </c>
      <c r="C90" s="28">
        <v>42916</v>
      </c>
      <c r="E90" s="21">
        <f>ODDLYIELD(C89,C90,C91,C92,C93,100,C94)</f>
        <v>7.3601326150020283E-2</v>
      </c>
    </row>
    <row r="91" spans="1:5" x14ac:dyDescent="0.55000000000000004">
      <c r="B91" s="3" t="s">
        <v>183</v>
      </c>
      <c r="C91" s="28">
        <v>42766</v>
      </c>
    </row>
    <row r="92" spans="1:5" x14ac:dyDescent="0.55000000000000004">
      <c r="B92" s="3" t="s">
        <v>184</v>
      </c>
      <c r="C92" s="9">
        <v>0.05</v>
      </c>
    </row>
    <row r="93" spans="1:5" x14ac:dyDescent="0.55000000000000004">
      <c r="B93" s="3" t="s">
        <v>177</v>
      </c>
      <c r="C93" s="3">
        <v>99.5</v>
      </c>
    </row>
    <row r="94" spans="1:5" x14ac:dyDescent="0.55000000000000004">
      <c r="B94" s="3" t="s">
        <v>137</v>
      </c>
      <c r="C94" s="3">
        <v>4</v>
      </c>
    </row>
    <row r="97" spans="1:5" x14ac:dyDescent="0.55000000000000004">
      <c r="A97" s="2" t="s">
        <v>185</v>
      </c>
      <c r="B97" s="3" t="s">
        <v>186</v>
      </c>
    </row>
    <row r="98" spans="1:5" x14ac:dyDescent="0.55000000000000004">
      <c r="B98" s="3" t="s">
        <v>187</v>
      </c>
    </row>
    <row r="100" spans="1:5" x14ac:dyDescent="0.55000000000000004">
      <c r="B100" s="3" t="s">
        <v>134</v>
      </c>
      <c r="C100" s="28">
        <v>41000</v>
      </c>
      <c r="E100" s="8" t="s">
        <v>177</v>
      </c>
    </row>
    <row r="101" spans="1:5" x14ac:dyDescent="0.55000000000000004">
      <c r="B101" s="3" t="s">
        <v>145</v>
      </c>
      <c r="C101" s="28">
        <v>43921</v>
      </c>
      <c r="E101" s="31">
        <f>PRICE(C100,C101,C102,C103,C104,C105)</f>
        <v>110.83448359321567</v>
      </c>
    </row>
    <row r="102" spans="1:5" x14ac:dyDescent="0.55000000000000004">
      <c r="B102" s="3" t="s">
        <v>188</v>
      </c>
      <c r="C102" s="9">
        <v>0.12</v>
      </c>
    </row>
    <row r="103" spans="1:5" x14ac:dyDescent="0.55000000000000004">
      <c r="B103" s="3" t="s">
        <v>157</v>
      </c>
      <c r="C103" s="9">
        <v>0.1</v>
      </c>
    </row>
    <row r="104" spans="1:5" x14ac:dyDescent="0.55000000000000004">
      <c r="B104" s="3" t="s">
        <v>189</v>
      </c>
      <c r="C104" s="3">
        <v>100</v>
      </c>
    </row>
    <row r="105" spans="1:5" x14ac:dyDescent="0.55000000000000004">
      <c r="B105" s="3" t="s">
        <v>190</v>
      </c>
      <c r="C105" s="3">
        <v>2</v>
      </c>
    </row>
    <row r="108" spans="1:5" x14ac:dyDescent="0.55000000000000004">
      <c r="A108" s="2" t="s">
        <v>191</v>
      </c>
      <c r="B108" s="3" t="s">
        <v>192</v>
      </c>
    </row>
    <row r="109" spans="1:5" x14ac:dyDescent="0.55000000000000004">
      <c r="B109" s="3" t="s">
        <v>193</v>
      </c>
    </row>
    <row r="111" spans="1:5" x14ac:dyDescent="0.55000000000000004">
      <c r="B111" s="3" t="s">
        <v>134</v>
      </c>
      <c r="C111" s="28">
        <v>42826</v>
      </c>
      <c r="E111" s="8" t="s">
        <v>195</v>
      </c>
    </row>
    <row r="112" spans="1:5" x14ac:dyDescent="0.55000000000000004">
      <c r="B112" s="3" t="s">
        <v>145</v>
      </c>
      <c r="C112" s="28">
        <v>44286</v>
      </c>
      <c r="E112" s="31">
        <f>PRICEDISC(C111,C112,C113,C114)</f>
        <v>90</v>
      </c>
    </row>
    <row r="113" spans="1:5" x14ac:dyDescent="0.55000000000000004">
      <c r="B113" s="3" t="s">
        <v>194</v>
      </c>
      <c r="C113" s="9">
        <v>2.5000000000000001E-2</v>
      </c>
    </row>
    <row r="114" spans="1:5" x14ac:dyDescent="0.55000000000000004">
      <c r="B114" s="3" t="s">
        <v>189</v>
      </c>
      <c r="C114" s="3">
        <v>100</v>
      </c>
    </row>
    <row r="117" spans="1:5" x14ac:dyDescent="0.55000000000000004">
      <c r="A117" s="2" t="s">
        <v>196</v>
      </c>
      <c r="B117" s="3" t="s">
        <v>197</v>
      </c>
    </row>
    <row r="118" spans="1:5" x14ac:dyDescent="0.55000000000000004">
      <c r="B118" s="3" t="s">
        <v>198</v>
      </c>
    </row>
    <row r="120" spans="1:5" x14ac:dyDescent="0.55000000000000004">
      <c r="B120" s="3" t="s">
        <v>134</v>
      </c>
      <c r="C120" s="28">
        <v>42826</v>
      </c>
      <c r="E120" s="8" t="s">
        <v>199</v>
      </c>
    </row>
    <row r="121" spans="1:5" x14ac:dyDescent="0.55000000000000004">
      <c r="B121" s="3" t="s">
        <v>145</v>
      </c>
      <c r="C121" s="28">
        <v>44286</v>
      </c>
      <c r="E121" s="31">
        <f>PRICEMAT(C120,C121,C122,C123,C124)</f>
        <v>107.17045454545453</v>
      </c>
    </row>
    <row r="122" spans="1:5" x14ac:dyDescent="0.55000000000000004">
      <c r="B122" s="3" t="s">
        <v>132</v>
      </c>
      <c r="C122" s="28">
        <v>42736</v>
      </c>
    </row>
    <row r="123" spans="1:5" x14ac:dyDescent="0.55000000000000004">
      <c r="B123" s="3" t="s">
        <v>184</v>
      </c>
      <c r="C123" s="9">
        <v>4.4999999999999998E-2</v>
      </c>
    </row>
    <row r="124" spans="1:5" x14ac:dyDescent="0.55000000000000004">
      <c r="B124" s="3" t="s">
        <v>172</v>
      </c>
      <c r="C124" s="9">
        <v>2.5000000000000001E-2</v>
      </c>
    </row>
    <row r="127" spans="1:5" x14ac:dyDescent="0.55000000000000004">
      <c r="A127" s="2" t="s">
        <v>200</v>
      </c>
      <c r="B127" s="3" t="s">
        <v>201</v>
      </c>
    </row>
    <row r="128" spans="1:5" x14ac:dyDescent="0.55000000000000004">
      <c r="B128" s="3" t="s">
        <v>202</v>
      </c>
    </row>
    <row r="130" spans="1:5" x14ac:dyDescent="0.55000000000000004">
      <c r="B130" s="3" t="s">
        <v>134</v>
      </c>
      <c r="C130" s="28">
        <v>40634</v>
      </c>
      <c r="E130" s="8" t="s">
        <v>205</v>
      </c>
    </row>
    <row r="131" spans="1:5" x14ac:dyDescent="0.55000000000000004">
      <c r="B131" s="3" t="s">
        <v>145</v>
      </c>
      <c r="C131" s="28">
        <v>42460</v>
      </c>
      <c r="E131" s="22">
        <f>RECEIVED(C130,C131,C132,C133)</f>
        <v>1290.3225806451612</v>
      </c>
    </row>
    <row r="132" spans="1:5" x14ac:dyDescent="0.55000000000000004">
      <c r="B132" s="3" t="s">
        <v>203</v>
      </c>
      <c r="C132" s="10">
        <v>1000</v>
      </c>
    </row>
    <row r="133" spans="1:5" x14ac:dyDescent="0.55000000000000004">
      <c r="B133" s="3" t="s">
        <v>204</v>
      </c>
      <c r="C133" s="9">
        <v>4.4999999999999998E-2</v>
      </c>
    </row>
    <row r="134" spans="1:5" x14ac:dyDescent="0.55000000000000004">
      <c r="C134" s="9"/>
    </row>
    <row r="136" spans="1:5" x14ac:dyDescent="0.55000000000000004">
      <c r="A136" s="2" t="s">
        <v>206</v>
      </c>
      <c r="B136" t="s">
        <v>207</v>
      </c>
    </row>
    <row r="137" spans="1:5" x14ac:dyDescent="0.55000000000000004">
      <c r="B137" s="3" t="s">
        <v>208</v>
      </c>
    </row>
    <row r="139" spans="1:5" x14ac:dyDescent="0.55000000000000004">
      <c r="B139" s="3" t="s">
        <v>134</v>
      </c>
      <c r="C139" s="28">
        <v>40179</v>
      </c>
      <c r="E139" s="8" t="s">
        <v>157</v>
      </c>
    </row>
    <row r="140" spans="1:5" x14ac:dyDescent="0.55000000000000004">
      <c r="B140" s="3" t="s">
        <v>145</v>
      </c>
      <c r="C140" s="28">
        <v>42185</v>
      </c>
      <c r="E140" s="21">
        <f>YIELD(C139,C140,C141,C142,C143,C144)</f>
        <v>9.7626935564399386E-2</v>
      </c>
    </row>
    <row r="141" spans="1:5" x14ac:dyDescent="0.55000000000000004">
      <c r="B141" s="3" t="s">
        <v>184</v>
      </c>
      <c r="C141" s="9">
        <v>0.1</v>
      </c>
    </row>
    <row r="142" spans="1:5" x14ac:dyDescent="0.55000000000000004">
      <c r="B142" s="3" t="s">
        <v>209</v>
      </c>
      <c r="C142" s="10">
        <v>101</v>
      </c>
    </row>
    <row r="143" spans="1:5" x14ac:dyDescent="0.55000000000000004">
      <c r="B143" s="3" t="s">
        <v>164</v>
      </c>
      <c r="C143" s="10">
        <v>100</v>
      </c>
    </row>
    <row r="144" spans="1:5" x14ac:dyDescent="0.55000000000000004">
      <c r="B144" s="3" t="s">
        <v>210</v>
      </c>
      <c r="C144" s="3">
        <v>4</v>
      </c>
    </row>
    <row r="147" spans="1:5" x14ac:dyDescent="0.55000000000000004">
      <c r="A147" s="2" t="s">
        <v>211</v>
      </c>
      <c r="B147" s="3" t="s">
        <v>212</v>
      </c>
    </row>
    <row r="148" spans="1:5" x14ac:dyDescent="0.55000000000000004">
      <c r="B148" s="3" t="s">
        <v>213</v>
      </c>
    </row>
    <row r="150" spans="1:5" x14ac:dyDescent="0.55000000000000004">
      <c r="B150" s="3" t="s">
        <v>134</v>
      </c>
      <c r="C150" s="28">
        <v>42736</v>
      </c>
      <c r="E150" s="8" t="s">
        <v>217</v>
      </c>
    </row>
    <row r="151" spans="1:5" x14ac:dyDescent="0.55000000000000004">
      <c r="B151" s="3" t="s">
        <v>145</v>
      </c>
      <c r="C151" s="28">
        <v>42916</v>
      </c>
      <c r="E151" s="21">
        <f>YIELDDISC(C150,C151,C152,C153)</f>
        <v>6.2201232505903363E-2</v>
      </c>
    </row>
    <row r="152" spans="1:5" x14ac:dyDescent="0.55000000000000004">
      <c r="B152" s="3" t="s">
        <v>209</v>
      </c>
      <c r="C152" s="10">
        <v>97</v>
      </c>
    </row>
    <row r="153" spans="1:5" x14ac:dyDescent="0.55000000000000004">
      <c r="B153" s="3" t="s">
        <v>164</v>
      </c>
      <c r="C153" s="10">
        <v>100</v>
      </c>
    </row>
    <row r="156" spans="1:5" x14ac:dyDescent="0.55000000000000004">
      <c r="A156" s="2" t="s">
        <v>214</v>
      </c>
      <c r="B156" s="3" t="s">
        <v>215</v>
      </c>
    </row>
    <row r="157" spans="1:5" x14ac:dyDescent="0.55000000000000004">
      <c r="B157" s="3" t="s">
        <v>216</v>
      </c>
    </row>
    <row r="159" spans="1:5" x14ac:dyDescent="0.55000000000000004">
      <c r="B159" s="3" t="s">
        <v>134</v>
      </c>
      <c r="C159" s="28">
        <v>42736</v>
      </c>
      <c r="E159" s="8" t="s">
        <v>218</v>
      </c>
    </row>
    <row r="160" spans="1:5" x14ac:dyDescent="0.55000000000000004">
      <c r="B160" s="3" t="s">
        <v>145</v>
      </c>
      <c r="C160" s="28">
        <v>43281</v>
      </c>
      <c r="E160" s="21">
        <f>YIELDMAT(C159,C160,C161,C162,C163)</f>
        <v>4.2109773202210252E-2</v>
      </c>
    </row>
    <row r="161" spans="2:3" x14ac:dyDescent="0.55000000000000004">
      <c r="B161" s="3" t="s">
        <v>132</v>
      </c>
      <c r="C161" s="28">
        <v>41821</v>
      </c>
    </row>
    <row r="162" spans="2:3" x14ac:dyDescent="0.55000000000000004">
      <c r="B162" s="3" t="s">
        <v>184</v>
      </c>
      <c r="C162" s="9">
        <v>5.5E-2</v>
      </c>
    </row>
    <row r="163" spans="2:3" x14ac:dyDescent="0.55000000000000004">
      <c r="B163" s="3" t="s">
        <v>177</v>
      </c>
      <c r="C163" s="10">
        <v>101</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9" tint="0.79998168889431442"/>
  </sheetPr>
  <dimension ref="A1:E22"/>
  <sheetViews>
    <sheetView workbookViewId="0">
      <selection activeCell="B15" sqref="B15"/>
    </sheetView>
  </sheetViews>
  <sheetFormatPr defaultColWidth="9.1328125" defaultRowHeight="15.75" x14ac:dyDescent="0.5"/>
  <cols>
    <col min="1" max="1" width="23.86328125" style="3" customWidth="1"/>
    <col min="2" max="6" width="15.73046875" style="3" customWidth="1"/>
    <col min="7" max="16384" width="9.1328125" style="3"/>
  </cols>
  <sheetData>
    <row r="1" spans="1:5" ht="24" customHeight="1" x14ac:dyDescent="0.7">
      <c r="A1" s="1" t="s">
        <v>219</v>
      </c>
    </row>
    <row r="4" spans="1:5" ht="18" x14ac:dyDescent="0.55000000000000004">
      <c r="A4" s="2" t="s">
        <v>220</v>
      </c>
      <c r="B4" s="3" t="s">
        <v>221</v>
      </c>
    </row>
    <row r="5" spans="1:5" x14ac:dyDescent="0.5">
      <c r="A5" s="4"/>
      <c r="B5" s="3" t="s">
        <v>222</v>
      </c>
    </row>
    <row r="6" spans="1:5" x14ac:dyDescent="0.5">
      <c r="A6" s="4"/>
    </row>
    <row r="7" spans="1:5" x14ac:dyDescent="0.5">
      <c r="A7" s="4"/>
      <c r="B7" s="33" t="s">
        <v>229</v>
      </c>
      <c r="C7" s="33" t="s">
        <v>223</v>
      </c>
      <c r="D7" s="33" t="s">
        <v>224</v>
      </c>
    </row>
    <row r="8" spans="1:5" x14ac:dyDescent="0.5">
      <c r="B8" s="16">
        <v>0.04</v>
      </c>
      <c r="C8" s="52">
        <v>1</v>
      </c>
      <c r="D8" s="12">
        <f>EFFECT(B8,C8)</f>
        <v>4.0000000000000036E-2</v>
      </c>
    </row>
    <row r="9" spans="1:5" x14ac:dyDescent="0.5">
      <c r="B9" s="16">
        <v>0.04</v>
      </c>
      <c r="C9" s="52">
        <v>2</v>
      </c>
      <c r="D9" s="12">
        <f>EFFECT(B9,C9)</f>
        <v>4.0399999999999991E-2</v>
      </c>
    </row>
    <row r="10" spans="1:5" x14ac:dyDescent="0.5">
      <c r="B10" s="16">
        <v>0.04</v>
      </c>
      <c r="C10" s="52">
        <v>4</v>
      </c>
      <c r="D10" s="12">
        <f>EFFECT(B10,C10)</f>
        <v>4.0604010000000024E-2</v>
      </c>
    </row>
    <row r="11" spans="1:5" x14ac:dyDescent="0.5">
      <c r="B11" s="16">
        <v>0.04</v>
      </c>
      <c r="C11" s="52">
        <v>12</v>
      </c>
      <c r="D11" s="12">
        <f>EFFECT(B11,C11)</f>
        <v>4.0741542919790819E-2</v>
      </c>
    </row>
    <row r="12" spans="1:5" x14ac:dyDescent="0.5">
      <c r="C12" s="34"/>
      <c r="D12" s="10"/>
      <c r="E12" s="10"/>
    </row>
    <row r="14" spans="1:5" ht="18" x14ac:dyDescent="0.55000000000000004">
      <c r="A14" s="2" t="s">
        <v>225</v>
      </c>
      <c r="B14" s="3" t="s">
        <v>226</v>
      </c>
      <c r="C14" s="35"/>
    </row>
    <row r="15" spans="1:5" x14ac:dyDescent="0.5">
      <c r="B15" s="3" t="s">
        <v>230</v>
      </c>
    </row>
    <row r="17" spans="2:5" x14ac:dyDescent="0.5">
      <c r="B17" s="33" t="s">
        <v>228</v>
      </c>
      <c r="C17" s="33" t="s">
        <v>223</v>
      </c>
      <c r="D17" s="33" t="s">
        <v>227</v>
      </c>
    </row>
    <row r="18" spans="2:5" x14ac:dyDescent="0.5">
      <c r="B18" s="16">
        <v>0.04</v>
      </c>
      <c r="C18" s="52">
        <v>1</v>
      </c>
      <c r="D18" s="12">
        <f>NOMINAL(B18,C18)</f>
        <v>4.0000000000000036E-2</v>
      </c>
    </row>
    <row r="19" spans="2:5" x14ac:dyDescent="0.5">
      <c r="B19" s="16">
        <v>0.04</v>
      </c>
      <c r="C19" s="52">
        <v>2</v>
      </c>
      <c r="D19" s="12">
        <f>NOMINAL(B19,C19)</f>
        <v>3.9607805437114063E-2</v>
      </c>
    </row>
    <row r="20" spans="2:5" x14ac:dyDescent="0.5">
      <c r="B20" s="16">
        <v>0.04</v>
      </c>
      <c r="C20" s="52">
        <v>4</v>
      </c>
      <c r="D20" s="12">
        <f>NOMINAL(B20,C20)</f>
        <v>3.9413626195875295E-2</v>
      </c>
    </row>
    <row r="21" spans="2:5" x14ac:dyDescent="0.5">
      <c r="B21" s="16">
        <v>0.04</v>
      </c>
      <c r="C21" s="52">
        <v>12</v>
      </c>
      <c r="D21" s="12">
        <f>NOMINAL(B21,C21)</f>
        <v>3.9284877386386974E-2</v>
      </c>
    </row>
    <row r="22" spans="2:5" x14ac:dyDescent="0.5">
      <c r="E22" s="12"/>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9" tint="0.79998168889431442"/>
  </sheetPr>
  <dimension ref="A1:F56"/>
  <sheetViews>
    <sheetView workbookViewId="0"/>
  </sheetViews>
  <sheetFormatPr defaultColWidth="9.1328125" defaultRowHeight="15.75" x14ac:dyDescent="0.5"/>
  <cols>
    <col min="1" max="1" width="23.86328125" style="3" customWidth="1"/>
    <col min="2" max="6" width="15.73046875" style="3" customWidth="1"/>
    <col min="7" max="16384" width="9.1328125" style="3"/>
  </cols>
  <sheetData>
    <row r="1" spans="1:5" ht="24" customHeight="1" x14ac:dyDescent="0.7">
      <c r="A1" s="1" t="s">
        <v>0</v>
      </c>
    </row>
    <row r="4" spans="1:5" ht="18" x14ac:dyDescent="0.55000000000000004">
      <c r="A4" s="2" t="s">
        <v>1</v>
      </c>
      <c r="B4" s="3" t="s">
        <v>23</v>
      </c>
    </row>
    <row r="5" spans="1:5" x14ac:dyDescent="0.5">
      <c r="A5" s="4"/>
      <c r="B5" s="3" t="s">
        <v>10</v>
      </c>
      <c r="C5" s="3" t="s">
        <v>2</v>
      </c>
    </row>
    <row r="6" spans="1:5" x14ac:dyDescent="0.5">
      <c r="A6" s="4"/>
      <c r="B6" s="3" t="s">
        <v>52</v>
      </c>
    </row>
    <row r="7" spans="1:5" x14ac:dyDescent="0.5">
      <c r="A7" s="4"/>
    </row>
    <row r="8" spans="1:5" ht="16.149999999999999" thickBot="1" x14ac:dyDescent="0.55000000000000004">
      <c r="C8" s="5" t="s">
        <v>3</v>
      </c>
      <c r="D8" s="6">
        <v>10000</v>
      </c>
      <c r="E8" s="7" t="s">
        <v>4</v>
      </c>
    </row>
    <row r="9" spans="1:5" x14ac:dyDescent="0.5">
      <c r="B9" s="8" t="s">
        <v>9</v>
      </c>
      <c r="C9" s="9">
        <v>0.05</v>
      </c>
      <c r="D9" s="10">
        <v>10000</v>
      </c>
      <c r="E9" s="10">
        <f>(D9*C9)</f>
        <v>500</v>
      </c>
    </row>
    <row r="10" spans="1:5" x14ac:dyDescent="0.5">
      <c r="B10" s="8" t="s">
        <v>5</v>
      </c>
      <c r="C10" s="9">
        <v>0.05</v>
      </c>
      <c r="D10" s="10">
        <f t="shared" ref="D10:D13" si="0">(D9+E9)</f>
        <v>10500</v>
      </c>
      <c r="E10" s="10">
        <f t="shared" ref="E10:E13" si="1">(D10*C10)</f>
        <v>525</v>
      </c>
    </row>
    <row r="11" spans="1:5" x14ac:dyDescent="0.5">
      <c r="B11" s="8" t="s">
        <v>6</v>
      </c>
      <c r="C11" s="9">
        <v>3.5000000000000003E-2</v>
      </c>
      <c r="D11" s="10">
        <f t="shared" si="0"/>
        <v>11025</v>
      </c>
      <c r="E11" s="10">
        <f t="shared" si="1"/>
        <v>385.87500000000006</v>
      </c>
    </row>
    <row r="12" spans="1:5" x14ac:dyDescent="0.5">
      <c r="B12" s="8" t="s">
        <v>7</v>
      </c>
      <c r="C12" s="9">
        <v>3.5000000000000003E-2</v>
      </c>
      <c r="D12" s="10">
        <f t="shared" si="0"/>
        <v>11410.875</v>
      </c>
      <c r="E12" s="10">
        <f t="shared" si="1"/>
        <v>399.38062500000007</v>
      </c>
    </row>
    <row r="13" spans="1:5" x14ac:dyDescent="0.5">
      <c r="B13" s="8" t="s">
        <v>8</v>
      </c>
      <c r="C13" s="9">
        <v>3.5000000000000003E-2</v>
      </c>
      <c r="D13" s="10">
        <f t="shared" si="0"/>
        <v>11810.255625</v>
      </c>
      <c r="E13" s="10">
        <f t="shared" si="1"/>
        <v>413.35894687500002</v>
      </c>
    </row>
    <row r="14" spans="1:5" x14ac:dyDescent="0.5">
      <c r="D14" s="10"/>
      <c r="E14" s="10"/>
    </row>
    <row r="15" spans="1:5" x14ac:dyDescent="0.5">
      <c r="D15" s="22">
        <f>FVSCHEDULE($D$8,C9:C13)</f>
        <v>12223.614571874999</v>
      </c>
      <c r="E15" s="10">
        <f>SUM(E9:E13)</f>
        <v>2223.6145718749999</v>
      </c>
    </row>
    <row r="18" spans="1:6" ht="18" x14ac:dyDescent="0.55000000000000004">
      <c r="A18" s="2" t="s">
        <v>11</v>
      </c>
      <c r="B18" s="3" t="s">
        <v>22</v>
      </c>
    </row>
    <row r="19" spans="1:6" x14ac:dyDescent="0.5">
      <c r="B19" s="3" t="s">
        <v>10</v>
      </c>
      <c r="C19" s="3" t="s">
        <v>12</v>
      </c>
    </row>
    <row r="20" spans="1:6" x14ac:dyDescent="0.5">
      <c r="B20" s="3" t="s">
        <v>53</v>
      </c>
    </row>
    <row r="22" spans="1:6" ht="16.149999999999999" thickBot="1" x14ac:dyDescent="0.55000000000000004">
      <c r="C22" s="5" t="s">
        <v>3</v>
      </c>
      <c r="D22" s="6">
        <v>10000</v>
      </c>
      <c r="E22" s="7" t="s">
        <v>4</v>
      </c>
      <c r="F22" s="10">
        <v>15000</v>
      </c>
    </row>
    <row r="23" spans="1:6" x14ac:dyDescent="0.5">
      <c r="B23" s="8" t="s">
        <v>19</v>
      </c>
      <c r="C23" s="9">
        <v>0.04</v>
      </c>
      <c r="D23" s="10">
        <v>10000</v>
      </c>
      <c r="E23" s="10">
        <f>(D23*C23)</f>
        <v>400</v>
      </c>
    </row>
    <row r="24" spans="1:6" x14ac:dyDescent="0.5">
      <c r="B24" s="8" t="s">
        <v>9</v>
      </c>
      <c r="C24" s="9">
        <v>0.04</v>
      </c>
      <c r="D24" s="10">
        <f t="shared" ref="D24:D33" si="2">(D23+E23)</f>
        <v>10400</v>
      </c>
      <c r="E24" s="10">
        <f t="shared" ref="E24:E33" si="3">(D24*C24)</f>
        <v>416</v>
      </c>
    </row>
    <row r="25" spans="1:6" x14ac:dyDescent="0.5">
      <c r="B25" s="8" t="s">
        <v>5</v>
      </c>
      <c r="C25" s="9">
        <v>0.04</v>
      </c>
      <c r="D25" s="10">
        <f t="shared" si="2"/>
        <v>10816</v>
      </c>
      <c r="E25" s="10">
        <f t="shared" si="3"/>
        <v>432.64</v>
      </c>
    </row>
    <row r="26" spans="1:6" x14ac:dyDescent="0.5">
      <c r="B26" s="8" t="s">
        <v>6</v>
      </c>
      <c r="C26" s="9">
        <v>0.04</v>
      </c>
      <c r="D26" s="10">
        <f t="shared" si="2"/>
        <v>11248.64</v>
      </c>
      <c r="E26" s="10">
        <f t="shared" si="3"/>
        <v>449.94560000000001</v>
      </c>
    </row>
    <row r="27" spans="1:6" x14ac:dyDescent="0.5">
      <c r="B27" s="8" t="s">
        <v>7</v>
      </c>
      <c r="C27" s="9">
        <v>0.04</v>
      </c>
      <c r="D27" s="10">
        <f t="shared" si="2"/>
        <v>11698.585599999999</v>
      </c>
      <c r="E27" s="10">
        <f t="shared" si="3"/>
        <v>467.94342399999994</v>
      </c>
    </row>
    <row r="28" spans="1:6" x14ac:dyDescent="0.5">
      <c r="B28" s="8" t="s">
        <v>8</v>
      </c>
      <c r="C28" s="9">
        <v>0.04</v>
      </c>
      <c r="D28" s="10">
        <f t="shared" si="2"/>
        <v>12166.529023999998</v>
      </c>
      <c r="E28" s="10">
        <f t="shared" si="3"/>
        <v>486.6611609599999</v>
      </c>
    </row>
    <row r="29" spans="1:6" x14ac:dyDescent="0.5">
      <c r="B29" s="8" t="s">
        <v>13</v>
      </c>
      <c r="C29" s="9">
        <v>0.04</v>
      </c>
      <c r="D29" s="10">
        <f t="shared" si="2"/>
        <v>12653.190184959998</v>
      </c>
      <c r="E29" s="10">
        <f t="shared" si="3"/>
        <v>506.12760739839996</v>
      </c>
    </row>
    <row r="30" spans="1:6" x14ac:dyDescent="0.5">
      <c r="B30" s="8" t="s">
        <v>14</v>
      </c>
      <c r="C30" s="9">
        <v>0.04</v>
      </c>
      <c r="D30" s="10">
        <f t="shared" si="2"/>
        <v>13159.317792358397</v>
      </c>
      <c r="E30" s="10">
        <f t="shared" si="3"/>
        <v>526.37271169433586</v>
      </c>
    </row>
    <row r="31" spans="1:6" x14ac:dyDescent="0.5">
      <c r="B31" s="8" t="s">
        <v>15</v>
      </c>
      <c r="C31" s="9">
        <v>0.04</v>
      </c>
      <c r="D31" s="10">
        <f t="shared" si="2"/>
        <v>13685.690504052733</v>
      </c>
      <c r="E31" s="10">
        <f t="shared" si="3"/>
        <v>547.42762016210929</v>
      </c>
    </row>
    <row r="32" spans="1:6" x14ac:dyDescent="0.5">
      <c r="B32" s="8" t="s">
        <v>16</v>
      </c>
      <c r="C32" s="9">
        <v>0.04</v>
      </c>
      <c r="D32" s="10">
        <f t="shared" si="2"/>
        <v>14233.118124214841</v>
      </c>
      <c r="E32" s="10">
        <f t="shared" si="3"/>
        <v>569.32472496859361</v>
      </c>
    </row>
    <row r="33" spans="1:6" x14ac:dyDescent="0.5">
      <c r="B33" s="8" t="s">
        <v>17</v>
      </c>
      <c r="C33" s="9">
        <v>0.04</v>
      </c>
      <c r="D33" s="10">
        <f t="shared" si="2"/>
        <v>14802.442849183435</v>
      </c>
      <c r="E33" s="10">
        <f t="shared" si="3"/>
        <v>592.09771396733743</v>
      </c>
    </row>
    <row r="34" spans="1:6" x14ac:dyDescent="0.5">
      <c r="B34" s="8" t="s">
        <v>18</v>
      </c>
      <c r="C34" s="9">
        <v>0.04</v>
      </c>
      <c r="D34" s="10">
        <f t="shared" ref="D34" si="4">(D33+E33)</f>
        <v>15394.540563150773</v>
      </c>
      <c r="E34" s="10">
        <f t="shared" ref="E34" si="5">(D34*C34)</f>
        <v>615.7816225260309</v>
      </c>
    </row>
    <row r="36" spans="1:6" x14ac:dyDescent="0.5">
      <c r="B36" s="19">
        <f>_xlfn.PDURATION(C23,D22,F22)</f>
        <v>10.338035071507649</v>
      </c>
      <c r="E36" s="10">
        <f>SUM(E23:E35)</f>
        <v>6010.3221856768077</v>
      </c>
    </row>
    <row r="39" spans="1:6" ht="18" x14ac:dyDescent="0.55000000000000004">
      <c r="A39" s="2" t="s">
        <v>20</v>
      </c>
      <c r="B39" s="3" t="s">
        <v>21</v>
      </c>
    </row>
    <row r="40" spans="1:6" x14ac:dyDescent="0.5">
      <c r="B40" s="3" t="s">
        <v>10</v>
      </c>
      <c r="C40" s="3" t="s">
        <v>24</v>
      </c>
    </row>
    <row r="41" spans="1:6" x14ac:dyDescent="0.5">
      <c r="B41" s="3" t="s">
        <v>54</v>
      </c>
    </row>
    <row r="43" spans="1:6" ht="16.149999999999999" thickBot="1" x14ac:dyDescent="0.55000000000000004">
      <c r="C43" s="5" t="s">
        <v>3</v>
      </c>
      <c r="D43" s="6">
        <v>10000</v>
      </c>
      <c r="E43" s="7" t="s">
        <v>4</v>
      </c>
      <c r="F43" s="10">
        <v>15000</v>
      </c>
    </row>
    <row r="44" spans="1:6" x14ac:dyDescent="0.5">
      <c r="B44" s="8" t="s">
        <v>19</v>
      </c>
      <c r="C44" s="9">
        <v>0.04</v>
      </c>
      <c r="D44" s="10">
        <v>10000</v>
      </c>
      <c r="E44" s="10">
        <f>(D44*C44)</f>
        <v>400</v>
      </c>
    </row>
    <row r="45" spans="1:6" x14ac:dyDescent="0.5">
      <c r="B45" s="8" t="s">
        <v>9</v>
      </c>
      <c r="C45" s="9">
        <v>0.04</v>
      </c>
      <c r="D45" s="10">
        <f t="shared" ref="D45:D54" si="6">(D44+E44)</f>
        <v>10400</v>
      </c>
      <c r="E45" s="10">
        <f t="shared" ref="E45:E54" si="7">(D45*C45)</f>
        <v>416</v>
      </c>
    </row>
    <row r="46" spans="1:6" x14ac:dyDescent="0.5">
      <c r="B46" s="8" t="s">
        <v>5</v>
      </c>
      <c r="C46" s="9">
        <v>0.04</v>
      </c>
      <c r="D46" s="10">
        <f t="shared" si="6"/>
        <v>10816</v>
      </c>
      <c r="E46" s="10">
        <f t="shared" si="7"/>
        <v>432.64</v>
      </c>
    </row>
    <row r="47" spans="1:6" x14ac:dyDescent="0.5">
      <c r="B47" s="8" t="s">
        <v>6</v>
      </c>
      <c r="C47" s="9">
        <v>0.04</v>
      </c>
      <c r="D47" s="10">
        <f t="shared" si="6"/>
        <v>11248.64</v>
      </c>
      <c r="E47" s="10">
        <f t="shared" si="7"/>
        <v>449.94560000000001</v>
      </c>
    </row>
    <row r="48" spans="1:6" x14ac:dyDescent="0.5">
      <c r="B48" s="8" t="s">
        <v>7</v>
      </c>
      <c r="C48" s="9">
        <v>0.04</v>
      </c>
      <c r="D48" s="10">
        <f t="shared" si="6"/>
        <v>11698.585599999999</v>
      </c>
      <c r="E48" s="10">
        <f t="shared" si="7"/>
        <v>467.94342399999994</v>
      </c>
    </row>
    <row r="49" spans="2:5" x14ac:dyDescent="0.5">
      <c r="B49" s="8" t="s">
        <v>8</v>
      </c>
      <c r="C49" s="9">
        <v>0.04</v>
      </c>
      <c r="D49" s="10">
        <f t="shared" si="6"/>
        <v>12166.529023999998</v>
      </c>
      <c r="E49" s="10">
        <f t="shared" si="7"/>
        <v>486.6611609599999</v>
      </c>
    </row>
    <row r="50" spans="2:5" x14ac:dyDescent="0.5">
      <c r="B50" s="8" t="s">
        <v>13</v>
      </c>
      <c r="C50" s="9">
        <v>0.04</v>
      </c>
      <c r="D50" s="10">
        <f t="shared" si="6"/>
        <v>12653.190184959998</v>
      </c>
      <c r="E50" s="10">
        <f t="shared" si="7"/>
        <v>506.12760739839996</v>
      </c>
    </row>
    <row r="51" spans="2:5" x14ac:dyDescent="0.5">
      <c r="B51" s="8" t="s">
        <v>14</v>
      </c>
      <c r="C51" s="9">
        <v>0.04</v>
      </c>
      <c r="D51" s="10">
        <f t="shared" si="6"/>
        <v>13159.317792358397</v>
      </c>
      <c r="E51" s="10">
        <f t="shared" si="7"/>
        <v>526.37271169433586</v>
      </c>
    </row>
    <row r="52" spans="2:5" x14ac:dyDescent="0.5">
      <c r="B52" s="8" t="s">
        <v>15</v>
      </c>
      <c r="C52" s="9">
        <v>0.04</v>
      </c>
      <c r="D52" s="10">
        <f t="shared" si="6"/>
        <v>13685.690504052733</v>
      </c>
      <c r="E52" s="10">
        <f t="shared" si="7"/>
        <v>547.42762016210929</v>
      </c>
    </row>
    <row r="53" spans="2:5" x14ac:dyDescent="0.5">
      <c r="B53" s="8" t="s">
        <v>16</v>
      </c>
      <c r="C53" s="9">
        <v>0.04</v>
      </c>
      <c r="D53" s="10">
        <f t="shared" si="6"/>
        <v>14233.118124214841</v>
      </c>
      <c r="E53" s="10">
        <f t="shared" si="7"/>
        <v>569.32472496859361</v>
      </c>
    </row>
    <row r="54" spans="2:5" x14ac:dyDescent="0.5">
      <c r="B54" s="8" t="s">
        <v>17</v>
      </c>
      <c r="C54" s="9">
        <v>0.04</v>
      </c>
      <c r="D54" s="10">
        <f t="shared" si="6"/>
        <v>14802.442849183435</v>
      </c>
      <c r="E54" s="10">
        <f t="shared" si="7"/>
        <v>592.09771396733743</v>
      </c>
    </row>
    <row r="56" spans="2:5" x14ac:dyDescent="0.5">
      <c r="C56" s="21">
        <f>_xlfn.RRI(10,D43,F43)</f>
        <v>4.1379743992410623E-2</v>
      </c>
    </row>
  </sheetData>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9" tint="0.79998168889431442"/>
  </sheetPr>
  <dimension ref="A1:H109"/>
  <sheetViews>
    <sheetView workbookViewId="0"/>
  </sheetViews>
  <sheetFormatPr defaultColWidth="9.1328125" defaultRowHeight="18" x14ac:dyDescent="0.55000000000000004"/>
  <cols>
    <col min="1" max="1" width="23.86328125" style="36" customWidth="1"/>
    <col min="2" max="8" width="15.73046875" style="3" customWidth="1"/>
    <col min="9" max="16384" width="9.1328125" style="3"/>
  </cols>
  <sheetData>
    <row r="1" spans="1:6" ht="24" customHeight="1" x14ac:dyDescent="0.7">
      <c r="A1" s="1" t="s">
        <v>25</v>
      </c>
    </row>
    <row r="4" spans="1:6" x14ac:dyDescent="0.55000000000000004">
      <c r="A4" s="2" t="s">
        <v>26</v>
      </c>
      <c r="B4" s="3" t="s">
        <v>38</v>
      </c>
    </row>
    <row r="5" spans="1:6" x14ac:dyDescent="0.55000000000000004">
      <c r="A5" s="2"/>
      <c r="B5" s="3" t="s">
        <v>10</v>
      </c>
      <c r="C5" s="3" t="s">
        <v>27</v>
      </c>
    </row>
    <row r="6" spans="1:6" x14ac:dyDescent="0.55000000000000004">
      <c r="A6" s="2"/>
      <c r="C6" s="3" t="s">
        <v>39</v>
      </c>
    </row>
    <row r="7" spans="1:6" x14ac:dyDescent="0.55000000000000004">
      <c r="A7" s="2"/>
      <c r="B7" s="3" t="s">
        <v>50</v>
      </c>
    </row>
    <row r="8" spans="1:6" x14ac:dyDescent="0.55000000000000004">
      <c r="A8" s="2"/>
    </row>
    <row r="9" spans="1:6" ht="18.399999999999999" thickBot="1" x14ac:dyDescent="0.6">
      <c r="C9" s="5" t="s">
        <v>3</v>
      </c>
      <c r="D9" s="6">
        <v>50000</v>
      </c>
      <c r="E9" s="7" t="s">
        <v>4</v>
      </c>
      <c r="F9" s="5" t="s">
        <v>28</v>
      </c>
    </row>
    <row r="10" spans="1:6" x14ac:dyDescent="0.55000000000000004">
      <c r="B10" s="8" t="s">
        <v>9</v>
      </c>
      <c r="C10" s="9">
        <v>0.05</v>
      </c>
      <c r="D10" s="10">
        <v>50000</v>
      </c>
      <c r="E10" s="11">
        <f>CUMIPMT(C10/12,60,D10,1,12,0)</f>
        <v>-2294.9775373266384</v>
      </c>
      <c r="F10" s="13" t="s">
        <v>29</v>
      </c>
    </row>
    <row r="11" spans="1:6" x14ac:dyDescent="0.55000000000000004">
      <c r="B11" s="8" t="s">
        <v>5</v>
      </c>
      <c r="C11" s="9">
        <v>0.05</v>
      </c>
      <c r="D11" s="10">
        <v>50000</v>
      </c>
      <c r="E11" s="11">
        <f t="shared" ref="E11:E14" si="0">CUMIPMT(C11/12,60,D11,1,12,0)</f>
        <v>-2294.9775373266384</v>
      </c>
      <c r="F11" s="8" t="s">
        <v>30</v>
      </c>
    </row>
    <row r="12" spans="1:6" x14ac:dyDescent="0.55000000000000004">
      <c r="B12" s="8" t="s">
        <v>6</v>
      </c>
      <c r="C12" s="9">
        <v>0.05</v>
      </c>
      <c r="D12" s="10">
        <v>50000</v>
      </c>
      <c r="E12" s="11">
        <f t="shared" si="0"/>
        <v>-2294.9775373266384</v>
      </c>
      <c r="F12" s="8" t="s">
        <v>31</v>
      </c>
    </row>
    <row r="13" spans="1:6" x14ac:dyDescent="0.55000000000000004">
      <c r="B13" s="8" t="s">
        <v>7</v>
      </c>
      <c r="C13" s="9">
        <v>0.05</v>
      </c>
      <c r="D13" s="10">
        <v>50000</v>
      </c>
      <c r="E13" s="11">
        <f t="shared" si="0"/>
        <v>-2294.9775373266384</v>
      </c>
      <c r="F13" s="8" t="s">
        <v>32</v>
      </c>
    </row>
    <row r="14" spans="1:6" x14ac:dyDescent="0.55000000000000004">
      <c r="B14" s="8" t="s">
        <v>8</v>
      </c>
      <c r="C14" s="9">
        <v>0.05</v>
      </c>
      <c r="D14" s="10">
        <v>50000</v>
      </c>
      <c r="E14" s="11">
        <f t="shared" si="0"/>
        <v>-2294.9775373266384</v>
      </c>
      <c r="F14" s="8" t="s">
        <v>33</v>
      </c>
    </row>
    <row r="15" spans="1:6" x14ac:dyDescent="0.55000000000000004">
      <c r="D15" s="10"/>
      <c r="E15" s="10"/>
    </row>
    <row r="16" spans="1:6" x14ac:dyDescent="0.55000000000000004">
      <c r="D16" s="11"/>
      <c r="E16" s="10">
        <f>SUM(E10:E15)</f>
        <v>-11474.887686633192</v>
      </c>
    </row>
    <row r="17" spans="1:6" x14ac:dyDescent="0.55000000000000004">
      <c r="D17" s="11"/>
      <c r="E17" s="10"/>
    </row>
    <row r="19" spans="1:6" x14ac:dyDescent="0.55000000000000004">
      <c r="A19" s="2" t="s">
        <v>34</v>
      </c>
      <c r="B19" s="3" t="s">
        <v>37</v>
      </c>
    </row>
    <row r="20" spans="1:6" x14ac:dyDescent="0.55000000000000004">
      <c r="B20" s="3" t="s">
        <v>10</v>
      </c>
      <c r="C20" s="3" t="s">
        <v>35</v>
      </c>
    </row>
    <row r="21" spans="1:6" x14ac:dyDescent="0.55000000000000004">
      <c r="C21" s="3" t="s">
        <v>39</v>
      </c>
    </row>
    <row r="22" spans="1:6" x14ac:dyDescent="0.55000000000000004">
      <c r="B22" s="3" t="s">
        <v>51</v>
      </c>
    </row>
    <row r="24" spans="1:6" ht="18.399999999999999" thickBot="1" x14ac:dyDescent="0.6">
      <c r="C24" s="5" t="s">
        <v>3</v>
      </c>
      <c r="D24" s="6">
        <v>50000</v>
      </c>
      <c r="E24" s="7" t="s">
        <v>36</v>
      </c>
      <c r="F24" s="5" t="s">
        <v>28</v>
      </c>
    </row>
    <row r="25" spans="1:6" x14ac:dyDescent="0.55000000000000004">
      <c r="B25" s="8" t="s">
        <v>9</v>
      </c>
      <c r="C25" s="9">
        <v>0.05</v>
      </c>
      <c r="D25" s="10">
        <v>50000</v>
      </c>
      <c r="E25" s="11">
        <f>CUMPRINC(C25/12,60,D25,1,12,0)</f>
        <v>-9027.762649079923</v>
      </c>
      <c r="F25" s="13" t="s">
        <v>29</v>
      </c>
    </row>
    <row r="26" spans="1:6" x14ac:dyDescent="0.55000000000000004">
      <c r="B26" s="8" t="s">
        <v>5</v>
      </c>
      <c r="C26" s="9">
        <v>0.05</v>
      </c>
      <c r="D26" s="10">
        <v>50000</v>
      </c>
      <c r="E26" s="11">
        <f>CUMPRINC(C26/12,60,D26,13,24,0)</f>
        <v>-9489.640119832673</v>
      </c>
      <c r="F26" s="8" t="s">
        <v>30</v>
      </c>
    </row>
    <row r="27" spans="1:6" x14ac:dyDescent="0.55000000000000004">
      <c r="B27" s="8" t="s">
        <v>6</v>
      </c>
      <c r="C27" s="9">
        <v>0.05</v>
      </c>
      <c r="D27" s="10">
        <v>50000</v>
      </c>
      <c r="E27" s="11">
        <f>CUMPRINC(C27/12,60,D27,25,36,0)</f>
        <v>-9975.1481185779521</v>
      </c>
      <c r="F27" s="8" t="s">
        <v>31</v>
      </c>
    </row>
    <row r="28" spans="1:6" x14ac:dyDescent="0.55000000000000004">
      <c r="B28" s="8" t="s">
        <v>7</v>
      </c>
      <c r="C28" s="9">
        <v>0.05</v>
      </c>
      <c r="D28" s="10">
        <v>50000</v>
      </c>
      <c r="E28" s="11">
        <f>CUMPRINC(C28/12,60,D28,37,48,0)</f>
        <v>-10485.495627975799</v>
      </c>
      <c r="F28" s="8" t="s">
        <v>32</v>
      </c>
    </row>
    <row r="29" spans="1:6" x14ac:dyDescent="0.55000000000000004">
      <c r="B29" s="8" t="s">
        <v>8</v>
      </c>
      <c r="C29" s="9">
        <v>0.05</v>
      </c>
      <c r="D29" s="10">
        <v>50000</v>
      </c>
      <c r="E29" s="11">
        <f>CUMPRINC(C29/12,60,D29,49,60,0)</f>
        <v>-11021.953484533657</v>
      </c>
      <c r="F29" s="8" t="s">
        <v>33</v>
      </c>
    </row>
    <row r="30" spans="1:6" x14ac:dyDescent="0.55000000000000004">
      <c r="D30" s="10"/>
      <c r="E30" s="10"/>
    </row>
    <row r="31" spans="1:6" x14ac:dyDescent="0.55000000000000004">
      <c r="D31" s="11"/>
      <c r="E31" s="10">
        <f>SUM(E25:E30)</f>
        <v>-50000</v>
      </c>
    </row>
    <row r="34" spans="1:8" x14ac:dyDescent="0.55000000000000004">
      <c r="A34" s="2" t="s">
        <v>40</v>
      </c>
      <c r="B34" s="3" t="s">
        <v>41</v>
      </c>
    </row>
    <row r="35" spans="1:8" x14ac:dyDescent="0.55000000000000004">
      <c r="B35" s="3" t="s">
        <v>46</v>
      </c>
    </row>
    <row r="37" spans="1:8" x14ac:dyDescent="0.55000000000000004">
      <c r="B37" s="15">
        <v>1000</v>
      </c>
      <c r="C37" s="8" t="s">
        <v>45</v>
      </c>
      <c r="D37" s="8">
        <v>5</v>
      </c>
      <c r="E37" s="8" t="s">
        <v>44</v>
      </c>
      <c r="F37" s="16">
        <v>0.05</v>
      </c>
      <c r="H37" s="3" t="s">
        <v>48</v>
      </c>
    </row>
    <row r="39" spans="1:8" x14ac:dyDescent="0.55000000000000004">
      <c r="F39" s="17">
        <f>FV(F37/12,D37*12,-B37,0,0)</f>
        <v>68006.082840843374</v>
      </c>
    </row>
    <row r="41" spans="1:8" x14ac:dyDescent="0.55000000000000004">
      <c r="B41" s="15">
        <v>2000</v>
      </c>
      <c r="C41" s="8" t="s">
        <v>47</v>
      </c>
      <c r="D41" s="8">
        <v>4</v>
      </c>
      <c r="E41" s="8" t="s">
        <v>44</v>
      </c>
      <c r="F41" s="16">
        <v>0.1</v>
      </c>
      <c r="H41" s="3" t="s">
        <v>49</v>
      </c>
    </row>
    <row r="43" spans="1:8" x14ac:dyDescent="0.55000000000000004">
      <c r="F43" s="17">
        <f>FV(F41/4,D41*4,-B41,0,1)</f>
        <v>39729.460894166165</v>
      </c>
    </row>
    <row r="46" spans="1:8" x14ac:dyDescent="0.55000000000000004">
      <c r="A46" s="2" t="s">
        <v>55</v>
      </c>
      <c r="B46" s="3" t="s">
        <v>56</v>
      </c>
    </row>
    <row r="47" spans="1:8" x14ac:dyDescent="0.55000000000000004">
      <c r="A47" s="2"/>
      <c r="B47" s="3" t="s">
        <v>10</v>
      </c>
      <c r="C47" s="3" t="s">
        <v>58</v>
      </c>
    </row>
    <row r="48" spans="1:8" x14ac:dyDescent="0.55000000000000004">
      <c r="B48" s="3" t="s">
        <v>57</v>
      </c>
    </row>
    <row r="50" spans="1:8" x14ac:dyDescent="0.55000000000000004">
      <c r="B50" s="10">
        <v>50000</v>
      </c>
      <c r="C50" s="8" t="s">
        <v>59</v>
      </c>
      <c r="D50" s="8">
        <v>5</v>
      </c>
      <c r="E50" s="8" t="s">
        <v>44</v>
      </c>
      <c r="F50" s="16">
        <v>0.05</v>
      </c>
      <c r="G50" s="3" t="s">
        <v>62</v>
      </c>
      <c r="H50" s="3" t="s">
        <v>48</v>
      </c>
    </row>
    <row r="52" spans="1:8" x14ac:dyDescent="0.55000000000000004">
      <c r="C52" s="3" t="s">
        <v>60</v>
      </c>
      <c r="D52" s="20">
        <f>IPMT(F50/12,1,60,B50,0)</f>
        <v>-208.33333333333334</v>
      </c>
    </row>
    <row r="53" spans="1:8" x14ac:dyDescent="0.55000000000000004">
      <c r="C53" s="3" t="s">
        <v>61</v>
      </c>
      <c r="D53" s="20">
        <f>IPMT(F50/12,2,60,B50,0)</f>
        <v>-205.26988187971992</v>
      </c>
    </row>
    <row r="56" spans="1:8" x14ac:dyDescent="0.55000000000000004">
      <c r="A56" s="2" t="s">
        <v>63</v>
      </c>
      <c r="B56" s="10" t="s">
        <v>618</v>
      </c>
      <c r="C56" s="8"/>
      <c r="D56" s="8"/>
      <c r="E56" s="8"/>
      <c r="F56" s="16"/>
    </row>
    <row r="57" spans="1:8" x14ac:dyDescent="0.55000000000000004">
      <c r="B57" s="3" t="s">
        <v>10</v>
      </c>
      <c r="C57" s="3" t="s">
        <v>64</v>
      </c>
    </row>
    <row r="58" spans="1:8" x14ac:dyDescent="0.55000000000000004">
      <c r="B58" s="3" t="s">
        <v>69</v>
      </c>
    </row>
    <row r="59" spans="1:8" x14ac:dyDescent="0.55000000000000004">
      <c r="D59" s="14"/>
    </row>
    <row r="60" spans="1:8" x14ac:dyDescent="0.55000000000000004">
      <c r="B60" s="10">
        <v>50000</v>
      </c>
      <c r="C60" s="8" t="s">
        <v>59</v>
      </c>
      <c r="D60" s="15">
        <v>6000</v>
      </c>
      <c r="E60" s="8" t="s">
        <v>65</v>
      </c>
      <c r="F60" s="16">
        <v>0.04</v>
      </c>
      <c r="G60" s="3" t="s">
        <v>66</v>
      </c>
      <c r="H60" s="3" t="s">
        <v>48</v>
      </c>
    </row>
    <row r="62" spans="1:8" x14ac:dyDescent="0.55000000000000004">
      <c r="F62" s="19">
        <f>NPER(F60,-D60,B60,0)</f>
        <v>10.338035071507665</v>
      </c>
    </row>
    <row r="65" spans="1:8" x14ac:dyDescent="0.55000000000000004">
      <c r="A65" s="2" t="s">
        <v>67</v>
      </c>
      <c r="B65" s="3" t="s">
        <v>68</v>
      </c>
    </row>
    <row r="66" spans="1:8" x14ac:dyDescent="0.55000000000000004">
      <c r="B66" s="3" t="s">
        <v>10</v>
      </c>
      <c r="C66" s="3" t="s">
        <v>70</v>
      </c>
    </row>
    <row r="67" spans="1:8" x14ac:dyDescent="0.55000000000000004">
      <c r="B67" s="3" t="s">
        <v>71</v>
      </c>
    </row>
    <row r="69" spans="1:8" x14ac:dyDescent="0.55000000000000004">
      <c r="B69" s="10">
        <v>50000</v>
      </c>
      <c r="C69" s="8" t="s">
        <v>59</v>
      </c>
      <c r="D69" s="8">
        <v>5</v>
      </c>
      <c r="E69" s="8" t="s">
        <v>44</v>
      </c>
      <c r="F69" s="16">
        <v>0.05</v>
      </c>
      <c r="G69" s="3" t="s">
        <v>62</v>
      </c>
      <c r="H69" s="3" t="s">
        <v>48</v>
      </c>
    </row>
    <row r="71" spans="1:8" x14ac:dyDescent="0.55000000000000004">
      <c r="F71" s="20">
        <f>PMT(F69/12,D69*12,B69,0,0)</f>
        <v>-943.56168220054678</v>
      </c>
    </row>
    <row r="74" spans="1:8" x14ac:dyDescent="0.55000000000000004">
      <c r="A74" s="2" t="s">
        <v>72</v>
      </c>
      <c r="B74" s="3" t="s">
        <v>56</v>
      </c>
    </row>
    <row r="75" spans="1:8" x14ac:dyDescent="0.55000000000000004">
      <c r="B75" s="3" t="s">
        <v>10</v>
      </c>
      <c r="C75" s="3" t="s">
        <v>58</v>
      </c>
    </row>
    <row r="76" spans="1:8" x14ac:dyDescent="0.55000000000000004">
      <c r="B76" s="3" t="s">
        <v>57</v>
      </c>
    </row>
    <row r="78" spans="1:8" x14ac:dyDescent="0.55000000000000004">
      <c r="B78" s="10">
        <v>50000</v>
      </c>
      <c r="C78" s="8" t="s">
        <v>59</v>
      </c>
      <c r="D78" s="8">
        <v>5</v>
      </c>
      <c r="E78" s="8" t="s">
        <v>44</v>
      </c>
      <c r="F78" s="16">
        <v>0.05</v>
      </c>
      <c r="G78" s="3" t="s">
        <v>62</v>
      </c>
      <c r="H78" s="3" t="s">
        <v>48</v>
      </c>
    </row>
    <row r="80" spans="1:8" x14ac:dyDescent="0.55000000000000004">
      <c r="C80" s="3" t="s">
        <v>60</v>
      </c>
      <c r="D80" s="20">
        <f>PPMT(F78/12,1,60,B78,0)</f>
        <v>-735.22834886721341</v>
      </c>
    </row>
    <row r="81" spans="1:8" x14ac:dyDescent="0.55000000000000004">
      <c r="C81" s="3" t="s">
        <v>61</v>
      </c>
      <c r="D81" s="20">
        <f>PPMT(F78/12,2,60,B78,0)</f>
        <v>-738.29180032082684</v>
      </c>
    </row>
    <row r="84" spans="1:8" x14ac:dyDescent="0.55000000000000004">
      <c r="A84" s="2" t="s">
        <v>73</v>
      </c>
      <c r="B84" s="3" t="s">
        <v>74</v>
      </c>
    </row>
    <row r="85" spans="1:8" x14ac:dyDescent="0.55000000000000004">
      <c r="B85" s="3" t="s">
        <v>10</v>
      </c>
      <c r="C85" s="3" t="s">
        <v>75</v>
      </c>
    </row>
    <row r="86" spans="1:8" x14ac:dyDescent="0.55000000000000004">
      <c r="B86" s="3" t="s">
        <v>76</v>
      </c>
    </row>
    <row r="88" spans="1:8" x14ac:dyDescent="0.55000000000000004">
      <c r="B88" s="10">
        <v>1000</v>
      </c>
      <c r="C88" s="8" t="s">
        <v>42</v>
      </c>
      <c r="D88" s="8">
        <v>5</v>
      </c>
      <c r="E88" s="8" t="s">
        <v>44</v>
      </c>
      <c r="F88" s="16">
        <v>0.05</v>
      </c>
      <c r="G88" s="3" t="s">
        <v>62</v>
      </c>
      <c r="H88" s="3" t="s">
        <v>48</v>
      </c>
    </row>
    <row r="90" spans="1:8" x14ac:dyDescent="0.55000000000000004">
      <c r="F90" s="20">
        <f>PV(F88/12,D88*12,B88,0,0)</f>
        <v>-52990.706323927479</v>
      </c>
    </row>
    <row r="92" spans="1:8" x14ac:dyDescent="0.55000000000000004">
      <c r="B92" s="15">
        <v>2000</v>
      </c>
      <c r="C92" s="8" t="s">
        <v>47</v>
      </c>
      <c r="D92" s="8">
        <v>4</v>
      </c>
      <c r="E92" s="8" t="s">
        <v>44</v>
      </c>
      <c r="F92" s="16">
        <v>0.1</v>
      </c>
      <c r="H92" s="3" t="s">
        <v>49</v>
      </c>
    </row>
    <row r="94" spans="1:8" x14ac:dyDescent="0.55000000000000004">
      <c r="F94" s="20">
        <f>PV(F92/4,D92*4,B92,0,1)</f>
        <v>-26762.755452881123</v>
      </c>
    </row>
    <row r="97" spans="1:8" x14ac:dyDescent="0.55000000000000004">
      <c r="A97" s="2" t="s">
        <v>77</v>
      </c>
      <c r="B97" s="3" t="s">
        <v>78</v>
      </c>
    </row>
    <row r="98" spans="1:8" x14ac:dyDescent="0.55000000000000004">
      <c r="B98" s="3" t="s">
        <v>10</v>
      </c>
      <c r="C98" s="3" t="s">
        <v>83</v>
      </c>
    </row>
    <row r="99" spans="1:8" x14ac:dyDescent="0.55000000000000004">
      <c r="B99" s="3" t="s">
        <v>80</v>
      </c>
    </row>
    <row r="101" spans="1:8" x14ac:dyDescent="0.55000000000000004">
      <c r="B101" s="10">
        <v>50000</v>
      </c>
      <c r="C101" s="8" t="s">
        <v>59</v>
      </c>
      <c r="D101" s="8">
        <v>5</v>
      </c>
      <c r="E101" s="8" t="s">
        <v>43</v>
      </c>
      <c r="F101" s="15">
        <v>1000</v>
      </c>
      <c r="G101" s="3" t="s">
        <v>79</v>
      </c>
      <c r="H101" s="3" t="s">
        <v>48</v>
      </c>
    </row>
    <row r="103" spans="1:8" x14ac:dyDescent="0.55000000000000004">
      <c r="F103" s="21">
        <f>RATE(D101*12,-F101,B101)</f>
        <v>6.1834131612537669E-3</v>
      </c>
      <c r="G103" s="8" t="s">
        <v>82</v>
      </c>
      <c r="H103" s="21">
        <f>(F103*12)</f>
        <v>7.4200957935045206E-2</v>
      </c>
    </row>
    <row r="105" spans="1:8" x14ac:dyDescent="0.55000000000000004">
      <c r="B105" s="3" t="s">
        <v>10</v>
      </c>
      <c r="C105" s="3" t="s">
        <v>84</v>
      </c>
    </row>
    <row r="107" spans="1:8" x14ac:dyDescent="0.55000000000000004">
      <c r="B107" s="10">
        <v>20000</v>
      </c>
      <c r="C107" s="8" t="s">
        <v>81</v>
      </c>
      <c r="D107" s="8">
        <v>2</v>
      </c>
      <c r="E107" s="8" t="s">
        <v>43</v>
      </c>
      <c r="F107" s="15">
        <v>800</v>
      </c>
      <c r="G107" s="3" t="s">
        <v>79</v>
      </c>
      <c r="H107" s="3" t="s">
        <v>49</v>
      </c>
    </row>
    <row r="109" spans="1:8" x14ac:dyDescent="0.55000000000000004">
      <c r="F109" s="21">
        <f>RATE(D107*12,-F107,0,B107,1)</f>
        <v>3.2508435016111877E-3</v>
      </c>
      <c r="G109" s="8" t="s">
        <v>82</v>
      </c>
      <c r="H109" s="21">
        <f>(F109*12)</f>
        <v>3.9010122019334251E-2</v>
      </c>
    </row>
  </sheetData>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9" tint="0.79998168889431442"/>
  </sheetPr>
  <dimension ref="A1:F40"/>
  <sheetViews>
    <sheetView workbookViewId="0"/>
  </sheetViews>
  <sheetFormatPr defaultColWidth="9.1328125" defaultRowHeight="15.75" x14ac:dyDescent="0.5"/>
  <cols>
    <col min="1" max="1" width="23.86328125" style="3" customWidth="1"/>
    <col min="2" max="8" width="15.73046875" style="3" customWidth="1"/>
    <col min="9" max="16384" width="9.1328125" style="3"/>
  </cols>
  <sheetData>
    <row r="1" spans="1:6" ht="24" customHeight="1" x14ac:dyDescent="0.7">
      <c r="A1" s="1" t="s">
        <v>85</v>
      </c>
    </row>
    <row r="4" spans="1:6" ht="18" x14ac:dyDescent="0.55000000000000004">
      <c r="A4" s="2" t="s">
        <v>86</v>
      </c>
      <c r="B4" s="3" t="s">
        <v>87</v>
      </c>
    </row>
    <row r="5" spans="1:6" x14ac:dyDescent="0.5">
      <c r="A5" s="4"/>
      <c r="B5" s="3" t="s">
        <v>10</v>
      </c>
      <c r="C5" s="3" t="s">
        <v>96</v>
      </c>
    </row>
    <row r="6" spans="1:6" x14ac:dyDescent="0.5">
      <c r="A6" s="4"/>
      <c r="B6" s="3" t="s">
        <v>94</v>
      </c>
    </row>
    <row r="7" spans="1:6" x14ac:dyDescent="0.5">
      <c r="A7" s="4"/>
    </row>
    <row r="8" spans="1:6" ht="16.149999999999999" thickBot="1" x14ac:dyDescent="0.55000000000000004">
      <c r="C8" s="5" t="s">
        <v>88</v>
      </c>
      <c r="D8" s="7" t="s">
        <v>86</v>
      </c>
      <c r="E8" s="15"/>
      <c r="F8" s="8"/>
    </row>
    <row r="9" spans="1:6" x14ac:dyDescent="0.5">
      <c r="C9" s="10">
        <v>-100000</v>
      </c>
      <c r="D9" s="10"/>
      <c r="E9" s="11"/>
      <c r="F9" s="13"/>
    </row>
    <row r="10" spans="1:6" x14ac:dyDescent="0.5">
      <c r="B10" s="8" t="s">
        <v>89</v>
      </c>
      <c r="C10" s="10">
        <v>20000</v>
      </c>
      <c r="D10" s="12">
        <f>IRR(C9:C10)</f>
        <v>-0.8</v>
      </c>
      <c r="E10" s="11"/>
      <c r="F10" s="8"/>
    </row>
    <row r="11" spans="1:6" x14ac:dyDescent="0.5">
      <c r="B11" s="8" t="s">
        <v>90</v>
      </c>
      <c r="C11" s="10">
        <v>24000</v>
      </c>
      <c r="D11" s="12">
        <f>IRR(C9:C11)</f>
        <v>-0.3999999999999706</v>
      </c>
      <c r="E11" s="11"/>
      <c r="F11" s="8"/>
    </row>
    <row r="12" spans="1:6" x14ac:dyDescent="0.5">
      <c r="B12" s="8" t="s">
        <v>91</v>
      </c>
      <c r="C12" s="10">
        <v>28800</v>
      </c>
      <c r="D12" s="12">
        <f>IRR(C9:C12)</f>
        <v>-0.13618951095869036</v>
      </c>
      <c r="E12" s="11"/>
      <c r="F12" s="8"/>
    </row>
    <row r="13" spans="1:6" x14ac:dyDescent="0.5">
      <c r="B13" s="8" t="s">
        <v>92</v>
      </c>
      <c r="C13" s="10">
        <v>34560</v>
      </c>
      <c r="D13" s="12">
        <f>IRR(C9:C13)</f>
        <v>2.655394237935238E-2</v>
      </c>
      <c r="E13" s="11"/>
      <c r="F13" s="8"/>
    </row>
    <row r="14" spans="1:6" x14ac:dyDescent="0.5">
      <c r="B14" s="8" t="s">
        <v>93</v>
      </c>
      <c r="C14" s="10">
        <v>41470</v>
      </c>
      <c r="D14" s="12">
        <f>IRR(C9:C14)</f>
        <v>0.1305757563755694</v>
      </c>
      <c r="E14" s="10"/>
    </row>
    <row r="15" spans="1:6" x14ac:dyDescent="0.5">
      <c r="D15" s="11"/>
      <c r="E15" s="10"/>
    </row>
    <row r="16" spans="1:6" x14ac:dyDescent="0.5">
      <c r="D16" s="11"/>
      <c r="E16" s="10"/>
    </row>
    <row r="17" spans="1:6" ht="18" x14ac:dyDescent="0.55000000000000004">
      <c r="A17" s="2" t="s">
        <v>95</v>
      </c>
      <c r="B17" s="3" t="s">
        <v>619</v>
      </c>
    </row>
    <row r="18" spans="1:6" x14ac:dyDescent="0.5">
      <c r="B18" s="3" t="s">
        <v>10</v>
      </c>
      <c r="C18" s="3" t="s">
        <v>97</v>
      </c>
    </row>
    <row r="19" spans="1:6" x14ac:dyDescent="0.5">
      <c r="B19" s="3" t="s">
        <v>98</v>
      </c>
    </row>
    <row r="21" spans="1:6" ht="16.149999999999999" thickBot="1" x14ac:dyDescent="0.55000000000000004">
      <c r="C21" s="5" t="s">
        <v>88</v>
      </c>
      <c r="D21" s="7" t="s">
        <v>95</v>
      </c>
      <c r="E21" s="23" t="s">
        <v>99</v>
      </c>
      <c r="F21" s="5" t="s">
        <v>100</v>
      </c>
    </row>
    <row r="22" spans="1:6" x14ac:dyDescent="0.5">
      <c r="C22" s="10">
        <v>-100000</v>
      </c>
      <c r="D22" s="10"/>
      <c r="E22" s="16">
        <v>5.5E-2</v>
      </c>
      <c r="F22" s="24">
        <v>0.05</v>
      </c>
    </row>
    <row r="23" spans="1:6" x14ac:dyDescent="0.5">
      <c r="B23" s="8" t="s">
        <v>89</v>
      </c>
      <c r="C23" s="10">
        <v>20000</v>
      </c>
      <c r="D23" s="12">
        <f>MIRR(C22:C23,$E$22,$F$22)</f>
        <v>-0.8</v>
      </c>
      <c r="E23" s="11"/>
      <c r="F23" s="8"/>
    </row>
    <row r="24" spans="1:6" x14ac:dyDescent="0.5">
      <c r="B24" s="8" t="s">
        <v>90</v>
      </c>
      <c r="C24" s="10">
        <v>24000</v>
      </c>
      <c r="D24" s="12">
        <f>MIRR(C22:C24,$E$22,$F$22)</f>
        <v>-0.32917960675006308</v>
      </c>
      <c r="E24" s="11"/>
      <c r="F24" s="8"/>
    </row>
    <row r="25" spans="1:6" x14ac:dyDescent="0.5">
      <c r="B25" s="8" t="s">
        <v>91</v>
      </c>
      <c r="C25" s="10">
        <v>28800</v>
      </c>
      <c r="D25" s="12">
        <f>MIRR(C22:C25,$E$22,$F$22)</f>
        <v>-8.7219389485570953E-2</v>
      </c>
      <c r="E25" s="11"/>
      <c r="F25" s="8"/>
    </row>
    <row r="26" spans="1:6" x14ac:dyDescent="0.5">
      <c r="B26" s="8" t="s">
        <v>92</v>
      </c>
      <c r="C26" s="10">
        <v>34560</v>
      </c>
      <c r="D26" s="12">
        <f>MIRR(C22:C26,$E$22,$F$22)</f>
        <v>3.423294724178283E-2</v>
      </c>
      <c r="E26" s="11"/>
      <c r="F26" s="8"/>
    </row>
    <row r="27" spans="1:6" x14ac:dyDescent="0.5">
      <c r="B27" s="8" t="s">
        <v>93</v>
      </c>
      <c r="C27" s="10">
        <v>41470</v>
      </c>
      <c r="D27" s="12">
        <f>MIRR(C22:C27,$E$22,$F$22)</f>
        <v>0.1007531854682453</v>
      </c>
      <c r="E27" s="10"/>
    </row>
    <row r="28" spans="1:6" x14ac:dyDescent="0.5">
      <c r="D28" s="11"/>
      <c r="E28" s="10"/>
    </row>
    <row r="30" spans="1:6" ht="18" x14ac:dyDescent="0.55000000000000004">
      <c r="A30" s="2" t="s">
        <v>101</v>
      </c>
      <c r="B30" s="3" t="s">
        <v>102</v>
      </c>
    </row>
    <row r="31" spans="1:6" x14ac:dyDescent="0.5">
      <c r="B31" s="3" t="s">
        <v>10</v>
      </c>
      <c r="C31" s="3" t="s">
        <v>104</v>
      </c>
    </row>
    <row r="32" spans="1:6" x14ac:dyDescent="0.5">
      <c r="B32" s="3" t="s">
        <v>103</v>
      </c>
    </row>
    <row r="34" spans="2:6" ht="16.149999999999999" thickBot="1" x14ac:dyDescent="0.55000000000000004">
      <c r="C34" s="5" t="s">
        <v>88</v>
      </c>
      <c r="D34" s="7" t="s">
        <v>95</v>
      </c>
      <c r="E34" s="23" t="s">
        <v>99</v>
      </c>
      <c r="F34" s="8"/>
    </row>
    <row r="35" spans="2:6" x14ac:dyDescent="0.5">
      <c r="C35" s="10">
        <v>-5000</v>
      </c>
      <c r="D35" s="10"/>
      <c r="E35" s="16">
        <v>0.02</v>
      </c>
      <c r="F35" s="24"/>
    </row>
    <row r="36" spans="2:6" x14ac:dyDescent="0.5">
      <c r="B36" s="8" t="s">
        <v>89</v>
      </c>
      <c r="C36" s="10">
        <v>800</v>
      </c>
      <c r="D36" s="18">
        <f>NPV($E$35,C35:C36)</f>
        <v>-4133.0257593233373</v>
      </c>
      <c r="E36" s="11"/>
      <c r="F36" s="8"/>
    </row>
    <row r="37" spans="2:6" x14ac:dyDescent="0.5">
      <c r="B37" s="8" t="s">
        <v>90</v>
      </c>
      <c r="C37" s="10">
        <v>950</v>
      </c>
      <c r="D37" s="18">
        <f>NPV($E$35,C35:C37)</f>
        <v>-3237.8195415036448</v>
      </c>
      <c r="E37" s="11"/>
      <c r="F37" s="8"/>
    </row>
    <row r="38" spans="2:6" x14ac:dyDescent="0.5">
      <c r="B38" s="8" t="s">
        <v>91</v>
      </c>
      <c r="C38" s="10">
        <v>1080</v>
      </c>
      <c r="D38" s="18">
        <f>NPV($E$35,C35:C38)</f>
        <v>-2240.0664813950098</v>
      </c>
      <c r="E38" s="11"/>
      <c r="F38" s="8"/>
    </row>
    <row r="39" spans="2:6" x14ac:dyDescent="0.5">
      <c r="B39" s="8" t="s">
        <v>92</v>
      </c>
      <c r="C39" s="10">
        <v>1220</v>
      </c>
      <c r="D39" s="18">
        <f>NPV($E$35,C35:C39)</f>
        <v>-1135.0748934025123</v>
      </c>
      <c r="E39" s="11"/>
      <c r="F39" s="8"/>
    </row>
    <row r="40" spans="2:6" x14ac:dyDescent="0.5">
      <c r="B40" s="8" t="s">
        <v>93</v>
      </c>
      <c r="C40" s="10">
        <v>1500</v>
      </c>
      <c r="D40" s="18">
        <f>NPV($E$35,C35:C40)</f>
        <v>196.88217987677578</v>
      </c>
      <c r="E40" s="10"/>
    </row>
  </sheetData>
  <pageMargins left="0.7" right="0.7" top="0.75" bottom="0.75" header="0.3" footer="0.3"/>
  <ignoredErrors>
    <ignoredError sqref="D10:D13 D23:D26 D36 D38:D39" formulaRange="1"/>
  </ignoredError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9" tint="0.79998168889431442"/>
  </sheetPr>
  <dimension ref="A1:F27"/>
  <sheetViews>
    <sheetView workbookViewId="0"/>
  </sheetViews>
  <sheetFormatPr defaultColWidth="9.1328125" defaultRowHeight="15.75" x14ac:dyDescent="0.5"/>
  <cols>
    <col min="1" max="1" width="23.86328125" style="3" customWidth="1"/>
    <col min="2" max="8" width="15.73046875" style="3" customWidth="1"/>
    <col min="9" max="16384" width="9.1328125" style="3"/>
  </cols>
  <sheetData>
    <row r="1" spans="1:6" ht="24" customHeight="1" x14ac:dyDescent="0.7">
      <c r="A1" s="1" t="s">
        <v>105</v>
      </c>
    </row>
    <row r="4" spans="1:6" ht="18" x14ac:dyDescent="0.55000000000000004">
      <c r="A4" s="2" t="s">
        <v>106</v>
      </c>
      <c r="B4" s="3" t="s">
        <v>107</v>
      </c>
    </row>
    <row r="5" spans="1:6" x14ac:dyDescent="0.5">
      <c r="A5" s="4"/>
      <c r="B5" s="3" t="s">
        <v>10</v>
      </c>
      <c r="C5" s="3" t="s">
        <v>114</v>
      </c>
    </row>
    <row r="6" spans="1:6" x14ac:dyDescent="0.5">
      <c r="A6" s="4"/>
      <c r="B6" s="3" t="s">
        <v>115</v>
      </c>
    </row>
    <row r="7" spans="1:6" x14ac:dyDescent="0.5">
      <c r="A7" s="4"/>
    </row>
    <row r="8" spans="1:6" ht="16.149999999999999" thickBot="1" x14ac:dyDescent="0.55000000000000004">
      <c r="C8" s="5" t="s">
        <v>88</v>
      </c>
      <c r="D8" s="7" t="s">
        <v>113</v>
      </c>
      <c r="E8" s="7" t="s">
        <v>106</v>
      </c>
      <c r="F8" s="8"/>
    </row>
    <row r="9" spans="1:6" x14ac:dyDescent="0.5">
      <c r="C9" s="10">
        <v>-100000</v>
      </c>
      <c r="D9" s="25">
        <v>43101</v>
      </c>
      <c r="E9" s="12"/>
      <c r="F9" s="13"/>
    </row>
    <row r="10" spans="1:6" x14ac:dyDescent="0.5">
      <c r="B10" s="8" t="s">
        <v>108</v>
      </c>
      <c r="C10" s="10">
        <v>20000</v>
      </c>
      <c r="D10" s="25">
        <v>43160</v>
      </c>
      <c r="E10" s="12">
        <f>XIRR(C9:C10,D9:D10)</f>
        <v>-0.99995259069837639</v>
      </c>
      <c r="F10" s="8"/>
    </row>
    <row r="11" spans="1:6" x14ac:dyDescent="0.5">
      <c r="B11" s="8" t="s">
        <v>109</v>
      </c>
      <c r="C11" s="10">
        <v>40000</v>
      </c>
      <c r="D11" s="25">
        <v>43374</v>
      </c>
      <c r="E11" s="12">
        <f>XIRR(C9:C11,D9:D11)</f>
        <v>-0.58312365189194693</v>
      </c>
      <c r="F11" s="8"/>
    </row>
    <row r="12" spans="1:6" x14ac:dyDescent="0.5">
      <c r="B12" s="8" t="s">
        <v>110</v>
      </c>
      <c r="C12" s="10">
        <v>25000</v>
      </c>
      <c r="D12" s="25">
        <v>43497</v>
      </c>
      <c r="E12" s="12">
        <f>XIRR(C9:C12,D9:D12)</f>
        <v>-0.20165818259119994</v>
      </c>
      <c r="F12" s="8"/>
    </row>
    <row r="13" spans="1:6" x14ac:dyDescent="0.5">
      <c r="B13" s="8" t="s">
        <v>111</v>
      </c>
      <c r="C13" s="10">
        <v>8000</v>
      </c>
      <c r="D13" s="25">
        <v>43525</v>
      </c>
      <c r="E13" s="12">
        <f>XIRR(C9:C13,D9:D13)</f>
        <v>-9.1792365908622761E-2</v>
      </c>
      <c r="F13" s="8"/>
    </row>
    <row r="14" spans="1:6" x14ac:dyDescent="0.5">
      <c r="B14" s="8" t="s">
        <v>112</v>
      </c>
      <c r="C14" s="10">
        <v>15000</v>
      </c>
      <c r="D14" s="25">
        <v>43617</v>
      </c>
      <c r="E14" s="12">
        <f>XIRR(C9:C14,D9:D14)</f>
        <v>9.6760624647140497E-2</v>
      </c>
    </row>
    <row r="15" spans="1:6" x14ac:dyDescent="0.5">
      <c r="D15" s="11"/>
      <c r="E15" s="10"/>
    </row>
    <row r="16" spans="1:6" x14ac:dyDescent="0.5">
      <c r="D16" s="11"/>
      <c r="E16" s="10"/>
    </row>
    <row r="17" spans="1:6" ht="18" x14ac:dyDescent="0.55000000000000004">
      <c r="A17" s="2" t="s">
        <v>116</v>
      </c>
      <c r="B17" s="3" t="s">
        <v>117</v>
      </c>
    </row>
    <row r="18" spans="1:6" x14ac:dyDescent="0.5">
      <c r="B18" s="3" t="s">
        <v>10</v>
      </c>
      <c r="C18" s="3" t="s">
        <v>119</v>
      </c>
    </row>
    <row r="19" spans="1:6" x14ac:dyDescent="0.5">
      <c r="B19" s="3" t="s">
        <v>118</v>
      </c>
    </row>
    <row r="21" spans="1:6" ht="16.149999999999999" thickBot="1" x14ac:dyDescent="0.55000000000000004">
      <c r="C21" s="5" t="s">
        <v>88</v>
      </c>
      <c r="D21" s="7" t="s">
        <v>113</v>
      </c>
      <c r="E21" s="7" t="s">
        <v>116</v>
      </c>
      <c r="F21" s="5" t="s">
        <v>3</v>
      </c>
    </row>
    <row r="22" spans="1:6" x14ac:dyDescent="0.5">
      <c r="C22" s="10">
        <v>-10000</v>
      </c>
      <c r="D22" s="25">
        <v>43101</v>
      </c>
      <c r="E22" s="12"/>
      <c r="F22" s="16">
        <v>0.05</v>
      </c>
    </row>
    <row r="23" spans="1:6" x14ac:dyDescent="0.5">
      <c r="B23" s="8" t="s">
        <v>108</v>
      </c>
      <c r="C23" s="10">
        <v>2000</v>
      </c>
      <c r="D23" s="25">
        <v>43160</v>
      </c>
      <c r="E23" s="11">
        <f>XNPV($F$22,C22:C23,D22:D23)</f>
        <v>-8015.711222823451</v>
      </c>
    </row>
    <row r="24" spans="1:6" x14ac:dyDescent="0.5">
      <c r="B24" s="8" t="s">
        <v>109</v>
      </c>
      <c r="C24" s="10">
        <v>2400</v>
      </c>
      <c r="D24" s="25">
        <v>43374</v>
      </c>
      <c r="E24" s="11">
        <f>XNPV($F$22,C22:C24,D22:D24)</f>
        <v>-5701.7141402727029</v>
      </c>
    </row>
    <row r="25" spans="1:6" x14ac:dyDescent="0.5">
      <c r="B25" s="8" t="s">
        <v>110</v>
      </c>
      <c r="C25" s="10">
        <v>2900</v>
      </c>
      <c r="D25" s="25">
        <v>43497</v>
      </c>
      <c r="E25" s="11">
        <f>XNPV($F$22,C22:C25,D22:D25)</f>
        <v>-2951.2305405551101</v>
      </c>
    </row>
    <row r="26" spans="1:6" x14ac:dyDescent="0.5">
      <c r="B26" s="8" t="s">
        <v>111</v>
      </c>
      <c r="C26" s="10">
        <v>3500</v>
      </c>
      <c r="D26" s="25">
        <v>43525</v>
      </c>
      <c r="E26" s="11">
        <f>XNPV($F$22,C22:C26,D22:D26)</f>
        <v>355.91742140580482</v>
      </c>
    </row>
    <row r="27" spans="1:6" x14ac:dyDescent="0.5">
      <c r="B27" s="8" t="s">
        <v>112</v>
      </c>
      <c r="C27" s="10">
        <v>4100</v>
      </c>
      <c r="D27" s="25">
        <v>43617</v>
      </c>
      <c r="E27" s="11">
        <f>XNPV($F$22,C22:C27,D22:D27)</f>
        <v>4182.6540525636046</v>
      </c>
    </row>
  </sheetData>
  <pageMargins left="0.7" right="0.7" top="0.75" bottom="0.75" header="0.3" footer="0.3"/>
  <ignoredErrors>
    <ignoredError sqref="E10:E13 E23:E26" formulaRange="1"/>
  </ignoredError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D5F110-59D0-4550-A0ED-DD9DE70ED7BD}">
  <sheetPr>
    <tabColor theme="9" tint="0.79998168889431442"/>
  </sheetPr>
  <dimension ref="A1:G87"/>
  <sheetViews>
    <sheetView workbookViewId="0"/>
  </sheetViews>
  <sheetFormatPr defaultColWidth="9.1328125" defaultRowHeight="15.75" x14ac:dyDescent="0.5"/>
  <cols>
    <col min="1" max="1" width="23.86328125" style="4" customWidth="1"/>
    <col min="2" max="6" width="15.73046875" style="3" customWidth="1"/>
    <col min="7" max="7" width="12.59765625" style="3" customWidth="1"/>
    <col min="8" max="16384" width="9.1328125" style="3"/>
  </cols>
  <sheetData>
    <row r="1" spans="1:6" ht="24" customHeight="1" x14ac:dyDescent="0.7">
      <c r="A1" s="1" t="s">
        <v>1248</v>
      </c>
    </row>
    <row r="4" spans="1:6" ht="18" x14ac:dyDescent="0.55000000000000004">
      <c r="A4" s="2" t="s">
        <v>1249</v>
      </c>
      <c r="B4" t="s">
        <v>1250</v>
      </c>
    </row>
    <row r="5" spans="1:6" ht="18" x14ac:dyDescent="0.55000000000000004">
      <c r="A5" s="2"/>
      <c r="B5" s="350" t="s">
        <v>1258</v>
      </c>
    </row>
    <row r="6" spans="1:6" ht="18" x14ac:dyDescent="0.55000000000000004">
      <c r="A6" s="2"/>
      <c r="B6" s="350"/>
    </row>
    <row r="7" spans="1:6" ht="18.399999999999999" thickBot="1" x14ac:dyDescent="0.6">
      <c r="A7" s="2"/>
      <c r="E7" s="5" t="s">
        <v>1274</v>
      </c>
      <c r="F7" s="5" t="s">
        <v>1275</v>
      </c>
    </row>
    <row r="8" spans="1:6" ht="18" x14ac:dyDescent="0.55000000000000004">
      <c r="A8" s="2"/>
      <c r="B8" s="350" t="s">
        <v>1270</v>
      </c>
      <c r="C8" s="10">
        <v>10000</v>
      </c>
      <c r="E8" s="8">
        <v>0</v>
      </c>
      <c r="F8" s="11">
        <f t="shared" ref="F8:F13" si="0">AMORDEGRC($C$8,$C$9,$C$10,$C$11,E8,$C$12,$C$13)</f>
        <v>2000</v>
      </c>
    </row>
    <row r="9" spans="1:6" ht="18" x14ac:dyDescent="0.55000000000000004">
      <c r="A9" s="2"/>
      <c r="B9" s="350" t="s">
        <v>1271</v>
      </c>
      <c r="C9" s="28">
        <v>43646</v>
      </c>
      <c r="E9" s="8">
        <v>1</v>
      </c>
      <c r="F9" s="11">
        <f t="shared" si="0"/>
        <v>3200</v>
      </c>
    </row>
    <row r="10" spans="1:6" ht="18" x14ac:dyDescent="0.55000000000000004">
      <c r="A10" s="2"/>
      <c r="B10" s="350" t="s">
        <v>1272</v>
      </c>
      <c r="C10" s="28">
        <v>43830</v>
      </c>
      <c r="E10" s="8">
        <v>2</v>
      </c>
      <c r="F10" s="11">
        <f t="shared" si="0"/>
        <v>1920</v>
      </c>
    </row>
    <row r="11" spans="1:6" ht="18" x14ac:dyDescent="0.55000000000000004">
      <c r="A11" s="2"/>
      <c r="B11" s="350" t="s">
        <v>1273</v>
      </c>
      <c r="C11" s="10">
        <v>1000</v>
      </c>
      <c r="E11" s="8">
        <v>3</v>
      </c>
      <c r="F11" s="11">
        <f t="shared" si="0"/>
        <v>1440</v>
      </c>
    </row>
    <row r="12" spans="1:6" ht="18" x14ac:dyDescent="0.55000000000000004">
      <c r="A12" s="2"/>
      <c r="B12" s="350" t="s">
        <v>3</v>
      </c>
      <c r="C12" s="351">
        <v>0.2</v>
      </c>
      <c r="E12" s="8">
        <v>4</v>
      </c>
      <c r="F12" s="11">
        <f t="shared" si="0"/>
        <v>1440</v>
      </c>
    </row>
    <row r="13" spans="1:6" ht="18" x14ac:dyDescent="0.55000000000000004">
      <c r="A13" s="2"/>
      <c r="B13" s="350" t="s">
        <v>690</v>
      </c>
      <c r="C13" s="3">
        <v>4</v>
      </c>
      <c r="E13" s="8">
        <v>5</v>
      </c>
      <c r="F13" s="11">
        <f t="shared" si="0"/>
        <v>0</v>
      </c>
    </row>
    <row r="14" spans="1:6" ht="18" x14ac:dyDescent="0.55000000000000004">
      <c r="A14" s="2"/>
      <c r="B14" s="350"/>
    </row>
    <row r="16" spans="1:6" ht="18" x14ac:dyDescent="0.55000000000000004">
      <c r="A16" s="2" t="s">
        <v>1251</v>
      </c>
      <c r="B16" t="s">
        <v>1252</v>
      </c>
      <c r="C16" s="35"/>
    </row>
    <row r="17" spans="1:7" x14ac:dyDescent="0.5">
      <c r="B17" s="3" t="s">
        <v>1259</v>
      </c>
    </row>
    <row r="20" spans="1:7" ht="16.149999999999999" thickBot="1" x14ac:dyDescent="0.55000000000000004">
      <c r="E20" s="5" t="s">
        <v>1274</v>
      </c>
      <c r="F20" s="5" t="s">
        <v>1275</v>
      </c>
      <c r="G20" s="5" t="s">
        <v>881</v>
      </c>
    </row>
    <row r="21" spans="1:7" x14ac:dyDescent="0.5">
      <c r="B21" s="350" t="s">
        <v>1270</v>
      </c>
      <c r="C21" s="10">
        <v>10000</v>
      </c>
      <c r="F21" s="4"/>
      <c r="G21" s="10">
        <v>10000</v>
      </c>
    </row>
    <row r="22" spans="1:7" x14ac:dyDescent="0.5">
      <c r="B22" s="350" t="s">
        <v>1271</v>
      </c>
      <c r="C22" s="28">
        <v>43646</v>
      </c>
      <c r="E22" s="8">
        <v>0</v>
      </c>
      <c r="F22" s="11">
        <f>AMORLINC($C$21,$C$22,$C$23,$C$24,E22,$C$25,$C$26)</f>
        <v>1000</v>
      </c>
      <c r="G22" s="10">
        <f>(G21-F22)</f>
        <v>9000</v>
      </c>
    </row>
    <row r="23" spans="1:7" x14ac:dyDescent="0.5">
      <c r="B23" s="350" t="s">
        <v>1272</v>
      </c>
      <c r="C23" s="28">
        <v>43830</v>
      </c>
      <c r="E23" s="8">
        <v>1</v>
      </c>
      <c r="F23" s="11">
        <f t="shared" ref="F23:F27" si="1">AMORLINC($C$21,$C$22,$C$23,$C$24,E23,$C$25,$C$26)</f>
        <v>2000</v>
      </c>
      <c r="G23" s="10">
        <f t="shared" ref="G23:G27" si="2">(G22-F23)</f>
        <v>7000</v>
      </c>
    </row>
    <row r="24" spans="1:7" x14ac:dyDescent="0.5">
      <c r="B24" s="350" t="s">
        <v>1273</v>
      </c>
      <c r="C24" s="10">
        <v>1000</v>
      </c>
      <c r="E24" s="8">
        <v>2</v>
      </c>
      <c r="F24" s="11">
        <f t="shared" si="1"/>
        <v>2000</v>
      </c>
      <c r="G24" s="10">
        <f t="shared" si="2"/>
        <v>5000</v>
      </c>
    </row>
    <row r="25" spans="1:7" x14ac:dyDescent="0.5">
      <c r="B25" s="350" t="s">
        <v>3</v>
      </c>
      <c r="C25" s="351">
        <v>0.2</v>
      </c>
      <c r="E25" s="8">
        <v>3</v>
      </c>
      <c r="F25" s="11">
        <f t="shared" si="1"/>
        <v>2000</v>
      </c>
      <c r="G25" s="10">
        <f t="shared" si="2"/>
        <v>3000</v>
      </c>
    </row>
    <row r="26" spans="1:7" x14ac:dyDescent="0.5">
      <c r="B26" s="350" t="s">
        <v>690</v>
      </c>
      <c r="C26" s="3">
        <v>4</v>
      </c>
      <c r="E26" s="8">
        <v>4</v>
      </c>
      <c r="F26" s="11">
        <f t="shared" si="1"/>
        <v>2000</v>
      </c>
      <c r="G26" s="10">
        <f t="shared" si="2"/>
        <v>1000</v>
      </c>
    </row>
    <row r="27" spans="1:7" x14ac:dyDescent="0.5">
      <c r="E27" s="8">
        <v>5</v>
      </c>
      <c r="F27" s="11">
        <f t="shared" si="1"/>
        <v>0</v>
      </c>
      <c r="G27" s="10">
        <f t="shared" si="2"/>
        <v>1000</v>
      </c>
    </row>
    <row r="30" spans="1:7" x14ac:dyDescent="0.5">
      <c r="A30" s="4" t="s">
        <v>1253</v>
      </c>
      <c r="B30" t="s">
        <v>1260</v>
      </c>
    </row>
    <row r="31" spans="1:7" x14ac:dyDescent="0.5">
      <c r="B31" t="s">
        <v>1261</v>
      </c>
    </row>
    <row r="32" spans="1:7" x14ac:dyDescent="0.5">
      <c r="B32"/>
    </row>
    <row r="33" spans="1:7" ht="16.149999999999999" thickBot="1" x14ac:dyDescent="0.55000000000000004">
      <c r="B33" t="s">
        <v>1270</v>
      </c>
      <c r="C33" s="10">
        <v>10000</v>
      </c>
      <c r="E33" s="5" t="s">
        <v>1278</v>
      </c>
      <c r="F33" s="5" t="s">
        <v>1275</v>
      </c>
      <c r="G33" s="5" t="s">
        <v>881</v>
      </c>
    </row>
    <row r="34" spans="1:7" x14ac:dyDescent="0.5">
      <c r="B34" t="s">
        <v>1277</v>
      </c>
      <c r="C34" s="10">
        <v>2000</v>
      </c>
      <c r="E34" s="8">
        <v>0</v>
      </c>
      <c r="G34" s="10">
        <f>+C33</f>
        <v>10000</v>
      </c>
    </row>
    <row r="35" spans="1:7" x14ac:dyDescent="0.5">
      <c r="B35" t="s">
        <v>1276</v>
      </c>
      <c r="C35" s="3">
        <v>5</v>
      </c>
      <c r="E35" s="8">
        <v>1</v>
      </c>
      <c r="F35" s="18">
        <f>DB($C$33,$C$34,$C$35,E35)</f>
        <v>2750</v>
      </c>
      <c r="G35" s="10">
        <f>(G34-F35)</f>
        <v>7250</v>
      </c>
    </row>
    <row r="36" spans="1:7" x14ac:dyDescent="0.5">
      <c r="B36"/>
      <c r="E36" s="8">
        <v>2</v>
      </c>
      <c r="F36" s="18">
        <f t="shared" ref="F36:F39" si="3">DB($C$33,$C$34,$C$35,E36)</f>
        <v>1993.7500000000002</v>
      </c>
      <c r="G36" s="10">
        <f t="shared" ref="G36:G39" si="4">(G35-F36)</f>
        <v>5256.25</v>
      </c>
    </row>
    <row r="37" spans="1:7" x14ac:dyDescent="0.5">
      <c r="B37"/>
      <c r="E37" s="8">
        <v>3</v>
      </c>
      <c r="F37" s="18">
        <f t="shared" si="3"/>
        <v>1445.4687500000002</v>
      </c>
      <c r="G37" s="10">
        <f t="shared" si="4"/>
        <v>3810.78125</v>
      </c>
    </row>
    <row r="38" spans="1:7" x14ac:dyDescent="0.5">
      <c r="E38" s="8">
        <v>4</v>
      </c>
      <c r="F38" s="18">
        <f t="shared" si="3"/>
        <v>1047.96484375</v>
      </c>
      <c r="G38" s="10">
        <f t="shared" si="4"/>
        <v>2762.81640625</v>
      </c>
    </row>
    <row r="39" spans="1:7" x14ac:dyDescent="0.5">
      <c r="E39" s="8">
        <v>5</v>
      </c>
      <c r="F39" s="18">
        <f t="shared" si="3"/>
        <v>759.77451171875009</v>
      </c>
      <c r="G39" s="10">
        <f t="shared" si="4"/>
        <v>2003.0418945312499</v>
      </c>
    </row>
    <row r="40" spans="1:7" x14ac:dyDescent="0.5">
      <c r="E40" s="8"/>
      <c r="F40" s="14"/>
      <c r="G40" s="10"/>
    </row>
    <row r="42" spans="1:7" x14ac:dyDescent="0.5">
      <c r="A42" s="4" t="s">
        <v>1254</v>
      </c>
      <c r="B42" t="s">
        <v>1262</v>
      </c>
    </row>
    <row r="43" spans="1:7" x14ac:dyDescent="0.5">
      <c r="B43" t="s">
        <v>1263</v>
      </c>
    </row>
    <row r="44" spans="1:7" x14ac:dyDescent="0.5">
      <c r="B44"/>
    </row>
    <row r="45" spans="1:7" ht="16.149999999999999" thickBot="1" x14ac:dyDescent="0.55000000000000004">
      <c r="B45" t="s">
        <v>1270</v>
      </c>
      <c r="C45" s="10">
        <v>10000</v>
      </c>
      <c r="E45" s="5" t="s">
        <v>1278</v>
      </c>
      <c r="F45" s="5" t="s">
        <v>1275</v>
      </c>
      <c r="G45" s="5" t="s">
        <v>881</v>
      </c>
    </row>
    <row r="46" spans="1:7" x14ac:dyDescent="0.5">
      <c r="B46" t="s">
        <v>1277</v>
      </c>
      <c r="C46" s="10">
        <v>2000</v>
      </c>
      <c r="E46" s="8">
        <v>0</v>
      </c>
      <c r="G46" s="10">
        <f>+C45</f>
        <v>10000</v>
      </c>
    </row>
    <row r="47" spans="1:7" x14ac:dyDescent="0.5">
      <c r="B47" t="s">
        <v>1276</v>
      </c>
      <c r="C47" s="3">
        <v>5</v>
      </c>
      <c r="E47" s="8">
        <v>1</v>
      </c>
      <c r="F47" s="18">
        <f>DDB($C$33,$C$34,$C$35,E47)</f>
        <v>4000</v>
      </c>
      <c r="G47" s="10">
        <f>(G46-F47)</f>
        <v>6000</v>
      </c>
    </row>
    <row r="48" spans="1:7" x14ac:dyDescent="0.5">
      <c r="B48"/>
      <c r="E48" s="8">
        <v>2</v>
      </c>
      <c r="F48" s="18">
        <f t="shared" ref="F48:F51" si="5">DDB($C$33,$C$34,$C$35,E48)</f>
        <v>2400</v>
      </c>
      <c r="G48" s="10">
        <f t="shared" ref="G48:G51" si="6">(G47-F48)</f>
        <v>3600</v>
      </c>
    </row>
    <row r="49" spans="1:7" x14ac:dyDescent="0.5">
      <c r="B49"/>
      <c r="E49" s="8">
        <v>3</v>
      </c>
      <c r="F49" s="18">
        <f t="shared" si="5"/>
        <v>1440</v>
      </c>
      <c r="G49" s="10">
        <f t="shared" si="6"/>
        <v>2160</v>
      </c>
    </row>
    <row r="50" spans="1:7" x14ac:dyDescent="0.5">
      <c r="E50" s="8">
        <v>4</v>
      </c>
      <c r="F50" s="18">
        <f t="shared" si="5"/>
        <v>160</v>
      </c>
      <c r="G50" s="10">
        <f t="shared" si="6"/>
        <v>2000</v>
      </c>
    </row>
    <row r="51" spans="1:7" x14ac:dyDescent="0.5">
      <c r="E51" s="8">
        <v>5</v>
      </c>
      <c r="F51" s="18">
        <f t="shared" si="5"/>
        <v>0</v>
      </c>
      <c r="G51" s="10">
        <f t="shared" si="6"/>
        <v>2000</v>
      </c>
    </row>
    <row r="54" spans="1:7" x14ac:dyDescent="0.5">
      <c r="A54" s="4" t="s">
        <v>1255</v>
      </c>
      <c r="B54" t="s">
        <v>1264</v>
      </c>
    </row>
    <row r="55" spans="1:7" x14ac:dyDescent="0.5">
      <c r="B55" t="s">
        <v>1265</v>
      </c>
    </row>
    <row r="56" spans="1:7" x14ac:dyDescent="0.5">
      <c r="B56"/>
    </row>
    <row r="57" spans="1:7" ht="16.149999999999999" thickBot="1" x14ac:dyDescent="0.55000000000000004">
      <c r="B57" t="s">
        <v>1270</v>
      </c>
      <c r="C57" s="10">
        <v>10000</v>
      </c>
      <c r="E57" s="5" t="s">
        <v>1278</v>
      </c>
      <c r="F57" s="5" t="s">
        <v>1275</v>
      </c>
      <c r="G57" s="5" t="s">
        <v>881</v>
      </c>
    </row>
    <row r="58" spans="1:7" x14ac:dyDescent="0.5">
      <c r="B58" t="s">
        <v>1277</v>
      </c>
      <c r="C58" s="10">
        <v>2000</v>
      </c>
      <c r="E58" s="8">
        <v>0</v>
      </c>
      <c r="G58" s="10">
        <f>+C57</f>
        <v>10000</v>
      </c>
    </row>
    <row r="59" spans="1:7" x14ac:dyDescent="0.5">
      <c r="B59" t="s">
        <v>1276</v>
      </c>
      <c r="C59" s="3">
        <v>5</v>
      </c>
      <c r="E59" s="8">
        <v>1</v>
      </c>
      <c r="F59" s="18">
        <f>SLN($C$57,$C$58,$C$59)</f>
        <v>1600</v>
      </c>
      <c r="G59" s="10">
        <f>(G58-F59)</f>
        <v>8400</v>
      </c>
    </row>
    <row r="60" spans="1:7" x14ac:dyDescent="0.5">
      <c r="B60"/>
      <c r="E60" s="8">
        <v>2</v>
      </c>
      <c r="F60" s="18">
        <f t="shared" ref="F60:F63" si="7">SLN($C$57,$C$58,$C$59)</f>
        <v>1600</v>
      </c>
      <c r="G60" s="10">
        <f t="shared" ref="G60:G63" si="8">(G59-F60)</f>
        <v>6800</v>
      </c>
    </row>
    <row r="61" spans="1:7" x14ac:dyDescent="0.5">
      <c r="B61"/>
      <c r="E61" s="8">
        <v>3</v>
      </c>
      <c r="F61" s="18">
        <f t="shared" si="7"/>
        <v>1600</v>
      </c>
      <c r="G61" s="10">
        <f t="shared" si="8"/>
        <v>5200</v>
      </c>
    </row>
    <row r="62" spans="1:7" x14ac:dyDescent="0.5">
      <c r="E62" s="8">
        <v>4</v>
      </c>
      <c r="F62" s="18">
        <f t="shared" si="7"/>
        <v>1600</v>
      </c>
      <c r="G62" s="10">
        <f t="shared" si="8"/>
        <v>3600</v>
      </c>
    </row>
    <row r="63" spans="1:7" x14ac:dyDescent="0.5">
      <c r="E63" s="8">
        <v>5</v>
      </c>
      <c r="F63" s="18">
        <f t="shared" si="7"/>
        <v>1600</v>
      </c>
      <c r="G63" s="10">
        <f t="shared" si="8"/>
        <v>2000</v>
      </c>
    </row>
    <row r="66" spans="1:7" x14ac:dyDescent="0.5">
      <c r="A66" s="4" t="s">
        <v>1256</v>
      </c>
      <c r="B66" t="s">
        <v>1266</v>
      </c>
    </row>
    <row r="67" spans="1:7" x14ac:dyDescent="0.5">
      <c r="B67" t="s">
        <v>1267</v>
      </c>
    </row>
    <row r="68" spans="1:7" x14ac:dyDescent="0.5">
      <c r="B68"/>
    </row>
    <row r="69" spans="1:7" ht="16.149999999999999" thickBot="1" x14ac:dyDescent="0.55000000000000004">
      <c r="B69" t="s">
        <v>1270</v>
      </c>
      <c r="C69" s="10">
        <v>10000</v>
      </c>
      <c r="E69" s="5" t="s">
        <v>1278</v>
      </c>
      <c r="F69" s="5" t="s">
        <v>1275</v>
      </c>
      <c r="G69" s="5" t="s">
        <v>881</v>
      </c>
    </row>
    <row r="70" spans="1:7" x14ac:dyDescent="0.5">
      <c r="B70" t="s">
        <v>1277</v>
      </c>
      <c r="C70" s="10">
        <v>2000</v>
      </c>
      <c r="E70" s="8">
        <v>0</v>
      </c>
      <c r="G70" s="10">
        <f>+C69</f>
        <v>10000</v>
      </c>
    </row>
    <row r="71" spans="1:7" x14ac:dyDescent="0.5">
      <c r="B71" t="s">
        <v>1276</v>
      </c>
      <c r="C71" s="3">
        <v>5</v>
      </c>
      <c r="E71" s="8">
        <v>1</v>
      </c>
      <c r="F71" s="18">
        <f>SYD($C$69,$C$70,$C$71,E71)</f>
        <v>2666.6666666666665</v>
      </c>
      <c r="G71" s="10">
        <f>(G70-F71)</f>
        <v>7333.3333333333339</v>
      </c>
    </row>
    <row r="72" spans="1:7" x14ac:dyDescent="0.5">
      <c r="B72"/>
      <c r="E72" s="8">
        <v>2</v>
      </c>
      <c r="F72" s="18">
        <f t="shared" ref="F72:F75" si="9">SYD($C$69,$C$70,$C$71,E72)</f>
        <v>2133.3333333333335</v>
      </c>
      <c r="G72" s="10">
        <f t="shared" ref="G72:G75" si="10">(G71-F72)</f>
        <v>5200</v>
      </c>
    </row>
    <row r="73" spans="1:7" x14ac:dyDescent="0.5">
      <c r="B73"/>
      <c r="E73" s="8">
        <v>3</v>
      </c>
      <c r="F73" s="18">
        <f t="shared" si="9"/>
        <v>1600</v>
      </c>
      <c r="G73" s="10">
        <f t="shared" si="10"/>
        <v>3600</v>
      </c>
    </row>
    <row r="74" spans="1:7" x14ac:dyDescent="0.5">
      <c r="E74" s="8">
        <v>4</v>
      </c>
      <c r="F74" s="18">
        <f t="shared" si="9"/>
        <v>1066.6666666666667</v>
      </c>
      <c r="G74" s="10">
        <f t="shared" si="10"/>
        <v>2533.333333333333</v>
      </c>
    </row>
    <row r="75" spans="1:7" x14ac:dyDescent="0.5">
      <c r="E75" s="8">
        <v>5</v>
      </c>
      <c r="F75" s="18">
        <f t="shared" si="9"/>
        <v>533.33333333333337</v>
      </c>
      <c r="G75" s="10">
        <f t="shared" si="10"/>
        <v>1999.9999999999995</v>
      </c>
    </row>
    <row r="78" spans="1:7" x14ac:dyDescent="0.5">
      <c r="A78" s="4" t="s">
        <v>1257</v>
      </c>
      <c r="B78" t="s">
        <v>1268</v>
      </c>
    </row>
    <row r="79" spans="1:7" x14ac:dyDescent="0.5">
      <c r="B79" t="s">
        <v>1269</v>
      </c>
    </row>
    <row r="81" spans="2:7" ht="16.149999999999999" thickBot="1" x14ac:dyDescent="0.55000000000000004">
      <c r="B81" t="s">
        <v>1270</v>
      </c>
      <c r="C81" s="10">
        <v>10000</v>
      </c>
      <c r="E81" s="5" t="s">
        <v>1278</v>
      </c>
      <c r="F81" s="5" t="s">
        <v>1275</v>
      </c>
      <c r="G81" s="5" t="s">
        <v>881</v>
      </c>
    </row>
    <row r="82" spans="2:7" x14ac:dyDescent="0.5">
      <c r="B82" t="s">
        <v>1277</v>
      </c>
      <c r="C82" s="10">
        <v>1000</v>
      </c>
      <c r="E82" s="8">
        <v>0</v>
      </c>
      <c r="G82" s="10">
        <f>+C81</f>
        <v>10000</v>
      </c>
    </row>
    <row r="83" spans="2:7" x14ac:dyDescent="0.5">
      <c r="B83" t="s">
        <v>1276</v>
      </c>
      <c r="C83" s="3">
        <v>5</v>
      </c>
      <c r="E83" s="8">
        <v>1</v>
      </c>
      <c r="F83" s="18">
        <f>VDB($C$81,$C$82,$C$83,E83-1,E83)</f>
        <v>4000</v>
      </c>
      <c r="G83" s="10">
        <f>(G82-F83)</f>
        <v>6000</v>
      </c>
    </row>
    <row r="84" spans="2:7" x14ac:dyDescent="0.5">
      <c r="B84"/>
      <c r="E84" s="8">
        <v>2</v>
      </c>
      <c r="F84" s="18">
        <f t="shared" ref="F84:F87" si="11">VDB($C$81,$C$82,$C$83,E84-1,E84)</f>
        <v>2400</v>
      </c>
      <c r="G84" s="10">
        <f t="shared" ref="G84:G87" si="12">(G83-F84)</f>
        <v>3600</v>
      </c>
    </row>
    <row r="85" spans="2:7" x14ac:dyDescent="0.5">
      <c r="B85"/>
      <c r="E85" s="8">
        <v>3</v>
      </c>
      <c r="F85" s="18">
        <f t="shared" si="11"/>
        <v>1440</v>
      </c>
      <c r="G85" s="10">
        <f t="shared" si="12"/>
        <v>2160</v>
      </c>
    </row>
    <row r="86" spans="2:7" x14ac:dyDescent="0.5">
      <c r="E86" s="8">
        <v>4</v>
      </c>
      <c r="F86" s="18">
        <f t="shared" si="11"/>
        <v>864</v>
      </c>
      <c r="G86" s="10">
        <f t="shared" si="12"/>
        <v>1296</v>
      </c>
    </row>
    <row r="87" spans="2:7" x14ac:dyDescent="0.5">
      <c r="E87" s="8">
        <v>5</v>
      </c>
      <c r="F87" s="18">
        <f t="shared" si="11"/>
        <v>296</v>
      </c>
      <c r="G87" s="10">
        <f t="shared" si="12"/>
        <v>1000</v>
      </c>
    </row>
  </sheetData>
  <pageMargins left="0.7" right="0.7" top="0.75" bottom="0.75" header="0.3" footer="0.3"/>
  <pageSetup orientation="portrait" horizontalDpi="4294967295" verticalDpi="4294967295"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theme="9" tint="0.79998168889431442"/>
  </sheetPr>
  <dimension ref="A1:E24"/>
  <sheetViews>
    <sheetView workbookViewId="0"/>
  </sheetViews>
  <sheetFormatPr defaultColWidth="9.1328125" defaultRowHeight="15.75" x14ac:dyDescent="0.5"/>
  <cols>
    <col min="1" max="1" width="23.86328125" style="3" customWidth="1"/>
    <col min="2" max="6" width="15.73046875" style="3" customWidth="1"/>
    <col min="7" max="16384" width="9.1328125" style="3"/>
  </cols>
  <sheetData>
    <row r="1" spans="1:5" ht="24" customHeight="1" x14ac:dyDescent="0.7">
      <c r="A1" s="1" t="s">
        <v>568</v>
      </c>
    </row>
    <row r="4" spans="1:5" ht="18" x14ac:dyDescent="0.55000000000000004">
      <c r="A4" s="2" t="s">
        <v>569</v>
      </c>
      <c r="B4" s="3" t="s">
        <v>620</v>
      </c>
    </row>
    <row r="5" spans="1:5" ht="18" x14ac:dyDescent="0.55000000000000004">
      <c r="A5" s="2"/>
      <c r="B5" s="3" t="s">
        <v>579</v>
      </c>
    </row>
    <row r="6" spans="1:5" x14ac:dyDescent="0.5">
      <c r="A6" s="4"/>
    </row>
    <row r="7" spans="1:5" x14ac:dyDescent="0.5">
      <c r="A7" s="4"/>
      <c r="B7" s="33" t="s">
        <v>570</v>
      </c>
      <c r="C7" s="33" t="s">
        <v>571</v>
      </c>
      <c r="D7" s="72" t="s">
        <v>577</v>
      </c>
    </row>
    <row r="8" spans="1:5" x14ac:dyDescent="0.5">
      <c r="A8" s="4"/>
      <c r="B8" s="73">
        <v>1.01</v>
      </c>
      <c r="C8" s="73" t="s">
        <v>572</v>
      </c>
      <c r="D8" s="4">
        <f>DOLLARDE(B8,16)</f>
        <v>1.0625</v>
      </c>
    </row>
    <row r="9" spans="1:5" x14ac:dyDescent="0.5">
      <c r="B9" s="73">
        <v>1.1000000000000001</v>
      </c>
      <c r="C9" s="74" t="s">
        <v>573</v>
      </c>
      <c r="D9" s="4">
        <f>DOLLARDE(B9,16)</f>
        <v>1.6250000000000004</v>
      </c>
    </row>
    <row r="10" spans="1:5" x14ac:dyDescent="0.5">
      <c r="B10" s="73">
        <v>1.03</v>
      </c>
      <c r="C10" s="74" t="s">
        <v>574</v>
      </c>
      <c r="D10" s="4">
        <f>DOLLARDE(B10,32)</f>
        <v>1.09375</v>
      </c>
    </row>
    <row r="11" spans="1:5" x14ac:dyDescent="0.5">
      <c r="B11" s="73">
        <v>1.3</v>
      </c>
      <c r="C11" s="74" t="s">
        <v>575</v>
      </c>
      <c r="D11" s="4">
        <f>DOLLARDE(B11,32)</f>
        <v>1.9375</v>
      </c>
    </row>
    <row r="12" spans="1:5" x14ac:dyDescent="0.5">
      <c r="B12" s="73">
        <v>1.1200000000000001</v>
      </c>
      <c r="C12" s="74" t="s">
        <v>576</v>
      </c>
      <c r="D12" s="4">
        <f>DOLLARDE(B12,32)</f>
        <v>1.3750000000000004</v>
      </c>
    </row>
    <row r="13" spans="1:5" x14ac:dyDescent="0.5">
      <c r="B13" s="32"/>
      <c r="C13" s="32"/>
      <c r="D13" s="10"/>
      <c r="E13" s="10"/>
    </row>
    <row r="15" spans="1:5" ht="18" x14ac:dyDescent="0.55000000000000004">
      <c r="A15" s="2" t="s">
        <v>578</v>
      </c>
      <c r="B15" s="3" t="s">
        <v>621</v>
      </c>
      <c r="C15" s="35"/>
    </row>
    <row r="16" spans="1:5" x14ac:dyDescent="0.5">
      <c r="B16" s="3" t="s">
        <v>580</v>
      </c>
    </row>
    <row r="19" spans="2:5" x14ac:dyDescent="0.5">
      <c r="B19" s="33" t="s">
        <v>577</v>
      </c>
      <c r="C19" s="33" t="s">
        <v>571</v>
      </c>
      <c r="D19" s="72" t="s">
        <v>581</v>
      </c>
    </row>
    <row r="20" spans="2:5" x14ac:dyDescent="0.5">
      <c r="B20" s="75">
        <v>1.0625</v>
      </c>
      <c r="C20" s="73" t="s">
        <v>572</v>
      </c>
      <c r="D20" s="4">
        <f>DOLLARFR(B20,16)</f>
        <v>1.01</v>
      </c>
    </row>
    <row r="21" spans="2:5" x14ac:dyDescent="0.5">
      <c r="B21" s="75">
        <v>1.625</v>
      </c>
      <c r="C21" s="74" t="s">
        <v>573</v>
      </c>
      <c r="D21" s="4">
        <f>DOLLARFR(B21,16)</f>
        <v>1.1000000000000001</v>
      </c>
    </row>
    <row r="22" spans="2:5" x14ac:dyDescent="0.5">
      <c r="B22" s="75">
        <v>1.09375</v>
      </c>
      <c r="C22" s="74" t="s">
        <v>574</v>
      </c>
      <c r="D22" s="4">
        <f>DOLLARFR(B22,32)</f>
        <v>1.03</v>
      </c>
    </row>
    <row r="23" spans="2:5" x14ac:dyDescent="0.5">
      <c r="B23" s="75">
        <v>1.9375</v>
      </c>
      <c r="C23" s="74" t="s">
        <v>575</v>
      </c>
      <c r="D23" s="4">
        <f t="shared" ref="D23:D24" si="0">DOLLARFR(B23,32)</f>
        <v>1.3</v>
      </c>
    </row>
    <row r="24" spans="2:5" x14ac:dyDescent="0.5">
      <c r="B24" s="75">
        <v>1.375</v>
      </c>
      <c r="C24" s="74" t="s">
        <v>576</v>
      </c>
      <c r="D24" s="4">
        <f t="shared" si="0"/>
        <v>1.1200000000000001</v>
      </c>
      <c r="E24" s="12"/>
    </row>
  </sheetData>
  <pageMargins left="0.7" right="0.7" top="0.75" bottom="0.75" header="0.3" footer="0.3"/>
  <pageSetup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theme="4" tint="0.79998168889431442"/>
  </sheetPr>
  <dimension ref="A1:K42"/>
  <sheetViews>
    <sheetView workbookViewId="0">
      <selection activeCell="K6" sqref="K6"/>
    </sheetView>
  </sheetViews>
  <sheetFormatPr defaultRowHeight="14.25" x14ac:dyDescent="0.45"/>
  <cols>
    <col min="1" max="1" width="20.46484375" style="38" customWidth="1"/>
    <col min="2" max="2" width="15.73046875" style="38" customWidth="1"/>
    <col min="3" max="3" width="18.73046875" style="38" customWidth="1"/>
    <col min="4" max="5" width="15.73046875" style="38" customWidth="1"/>
    <col min="6" max="11" width="15.73046875" customWidth="1"/>
  </cols>
  <sheetData>
    <row r="1" spans="1:11" ht="23.25" x14ac:dyDescent="0.7">
      <c r="A1" s="97" t="s">
        <v>1537</v>
      </c>
    </row>
    <row r="2" spans="1:11" ht="23.25" x14ac:dyDescent="0.7">
      <c r="A2" s="97"/>
    </row>
    <row r="4" spans="1:11" ht="15.75" x14ac:dyDescent="0.5">
      <c r="C4" s="91" t="s">
        <v>608</v>
      </c>
      <c r="D4" s="91" t="s">
        <v>3</v>
      </c>
      <c r="I4" s="91" t="s">
        <v>613</v>
      </c>
      <c r="J4" s="91" t="s">
        <v>614</v>
      </c>
    </row>
    <row r="5" spans="1:11" ht="21" x14ac:dyDescent="0.65">
      <c r="A5" s="375" t="s">
        <v>1538</v>
      </c>
      <c r="C5" s="99">
        <v>6.3683999999999995E-5</v>
      </c>
      <c r="I5" s="88">
        <v>10050000</v>
      </c>
      <c r="J5" s="88">
        <f>(C5*I5)</f>
        <v>640.02419999999995</v>
      </c>
    </row>
    <row r="6" spans="1:11" ht="21" x14ac:dyDescent="0.65">
      <c r="A6" s="375" t="s">
        <v>1539</v>
      </c>
      <c r="C6" s="99">
        <v>6.3683999999999995E-5</v>
      </c>
      <c r="D6" s="89">
        <f>(C6*365)</f>
        <v>2.3244659999999997E-2</v>
      </c>
    </row>
    <row r="9" spans="1:11" ht="21" x14ac:dyDescent="0.65">
      <c r="A9" s="375" t="s">
        <v>617</v>
      </c>
    </row>
    <row r="10" spans="1:11" ht="15.75" x14ac:dyDescent="0.5">
      <c r="A10" s="91" t="s">
        <v>606</v>
      </c>
      <c r="B10" s="91" t="s">
        <v>607</v>
      </c>
      <c r="C10" s="91" t="s">
        <v>608</v>
      </c>
      <c r="D10" s="91" t="s">
        <v>3</v>
      </c>
      <c r="E10" s="91" t="s">
        <v>609</v>
      </c>
      <c r="F10" s="91" t="s">
        <v>610</v>
      </c>
      <c r="G10" s="91" t="s">
        <v>611</v>
      </c>
      <c r="H10" s="91" t="s">
        <v>612</v>
      </c>
      <c r="I10" s="91" t="s">
        <v>613</v>
      </c>
      <c r="J10" s="91" t="s">
        <v>614</v>
      </c>
      <c r="K10" s="91" t="s">
        <v>615</v>
      </c>
    </row>
    <row r="11" spans="1:11" x14ac:dyDescent="0.45">
      <c r="A11" s="98">
        <v>45566</v>
      </c>
      <c r="B11" s="38" t="str">
        <f>TEXT(A11,"ddd")</f>
        <v>Tue</v>
      </c>
      <c r="C11" s="99">
        <v>6.3683999999999995E-5</v>
      </c>
      <c r="D11" s="89">
        <f>(C11*365)</f>
        <v>2.3244659999999997E-2</v>
      </c>
      <c r="F11" s="100">
        <v>10000000</v>
      </c>
      <c r="G11" s="100">
        <v>50000</v>
      </c>
      <c r="H11" s="100"/>
      <c r="I11" s="88">
        <f>(F11+G11-H11)</f>
        <v>10050000</v>
      </c>
      <c r="J11" s="88">
        <f>(I11*C11)</f>
        <v>640.02419999999995</v>
      </c>
      <c r="K11" s="88">
        <f>+J11</f>
        <v>640.02419999999995</v>
      </c>
    </row>
    <row r="12" spans="1:11" x14ac:dyDescent="0.45">
      <c r="A12" s="90">
        <f>(A11+1)</f>
        <v>45567</v>
      </c>
      <c r="B12" s="38" t="str">
        <f t="shared" ref="B12:B40" si="0">TEXT(A12,"ddd")</f>
        <v>Wed</v>
      </c>
      <c r="C12" s="99">
        <v>6.3487999999999999E-5</v>
      </c>
      <c r="D12" s="89">
        <f t="shared" ref="D12:D24" si="1">(C12*365)</f>
        <v>2.3173119999999998E-2</v>
      </c>
      <c r="F12" s="88">
        <f>+I11</f>
        <v>10050000</v>
      </c>
      <c r="G12" s="100"/>
      <c r="H12" s="100">
        <v>-40000</v>
      </c>
      <c r="I12" s="88">
        <f>(F12+G12+H12)</f>
        <v>10010000</v>
      </c>
      <c r="J12" s="88">
        <f t="shared" ref="J12:J40" si="2">(I12*C12)</f>
        <v>635.51487999999995</v>
      </c>
      <c r="K12" s="88">
        <f>(K11+J12)</f>
        <v>1275.53908</v>
      </c>
    </row>
    <row r="13" spans="1:11" x14ac:dyDescent="0.45">
      <c r="A13" s="90">
        <f t="shared" ref="A13:A41" si="3">(A12+1)</f>
        <v>45568</v>
      </c>
      <c r="B13" s="38" t="str">
        <f t="shared" si="0"/>
        <v>Thu</v>
      </c>
      <c r="C13" s="99">
        <v>6.3639999999999994E-5</v>
      </c>
      <c r="D13" s="89">
        <f t="shared" si="1"/>
        <v>2.3228599999999999E-2</v>
      </c>
      <c r="F13" s="88">
        <f t="shared" ref="F13:F24" si="4">+I12</f>
        <v>10010000</v>
      </c>
      <c r="G13" s="100"/>
      <c r="H13" s="100"/>
      <c r="I13" s="88">
        <f t="shared" ref="I13:I40" si="5">(F13+G13+H13)</f>
        <v>10010000</v>
      </c>
      <c r="J13" s="88">
        <f t="shared" si="2"/>
        <v>637.03639999999996</v>
      </c>
      <c r="K13" s="88">
        <f t="shared" ref="K13:K40" si="6">(K12+J13)</f>
        <v>1912.57548</v>
      </c>
    </row>
    <row r="14" spans="1:11" x14ac:dyDescent="0.45">
      <c r="A14" s="90">
        <f t="shared" si="3"/>
        <v>45569</v>
      </c>
      <c r="B14" s="38" t="str">
        <f t="shared" si="0"/>
        <v>Fri</v>
      </c>
      <c r="C14" s="99">
        <v>6.3227999999999998E-5</v>
      </c>
      <c r="D14" s="89">
        <f t="shared" si="1"/>
        <v>2.307822E-2</v>
      </c>
      <c r="F14" s="88">
        <f t="shared" si="4"/>
        <v>10010000</v>
      </c>
      <c r="G14" s="100">
        <v>75000</v>
      </c>
      <c r="H14" s="100"/>
      <c r="I14" s="88">
        <f t="shared" si="5"/>
        <v>10085000</v>
      </c>
      <c r="J14" s="88">
        <f t="shared" si="2"/>
        <v>637.65437999999995</v>
      </c>
      <c r="K14" s="88">
        <f t="shared" si="6"/>
        <v>2550.2298599999999</v>
      </c>
    </row>
    <row r="15" spans="1:11" x14ac:dyDescent="0.45">
      <c r="A15" s="90">
        <f t="shared" si="3"/>
        <v>45570</v>
      </c>
      <c r="B15" s="38" t="str">
        <f t="shared" si="0"/>
        <v>Sat</v>
      </c>
      <c r="C15" s="99">
        <v>6.3227999999999998E-5</v>
      </c>
      <c r="D15" s="89">
        <f t="shared" si="1"/>
        <v>2.307822E-2</v>
      </c>
      <c r="F15" s="88">
        <f t="shared" si="4"/>
        <v>10085000</v>
      </c>
      <c r="G15" s="100"/>
      <c r="H15" s="100"/>
      <c r="I15" s="88">
        <f t="shared" si="5"/>
        <v>10085000</v>
      </c>
      <c r="J15" s="88">
        <f t="shared" si="2"/>
        <v>637.65437999999995</v>
      </c>
      <c r="K15" s="88">
        <f t="shared" si="6"/>
        <v>3187.8842399999999</v>
      </c>
    </row>
    <row r="16" spans="1:11" x14ac:dyDescent="0.45">
      <c r="A16" s="90">
        <f t="shared" si="3"/>
        <v>45571</v>
      </c>
      <c r="B16" s="38" t="str">
        <f t="shared" si="0"/>
        <v>Sun</v>
      </c>
      <c r="C16" s="99">
        <v>6.3227999999999998E-5</v>
      </c>
      <c r="D16" s="89">
        <f t="shared" si="1"/>
        <v>2.307822E-2</v>
      </c>
      <c r="F16" s="88">
        <f t="shared" si="4"/>
        <v>10085000</v>
      </c>
      <c r="G16" s="100"/>
      <c r="H16" s="100"/>
      <c r="I16" s="88">
        <f t="shared" si="5"/>
        <v>10085000</v>
      </c>
      <c r="J16" s="88">
        <f t="shared" si="2"/>
        <v>637.65437999999995</v>
      </c>
      <c r="K16" s="88">
        <f t="shared" si="6"/>
        <v>3825.5386199999998</v>
      </c>
    </row>
    <row r="17" spans="1:11" x14ac:dyDescent="0.45">
      <c r="A17" s="90">
        <f t="shared" si="3"/>
        <v>45572</v>
      </c>
      <c r="B17" s="38" t="str">
        <f t="shared" si="0"/>
        <v>Mon</v>
      </c>
      <c r="C17" s="99">
        <v>6.3152999999999997E-5</v>
      </c>
      <c r="D17" s="89">
        <f t="shared" si="1"/>
        <v>2.3050845E-2</v>
      </c>
      <c r="F17" s="88">
        <f t="shared" si="4"/>
        <v>10085000</v>
      </c>
      <c r="G17" s="100"/>
      <c r="H17" s="100"/>
      <c r="I17" s="88">
        <f t="shared" si="5"/>
        <v>10085000</v>
      </c>
      <c r="J17" s="88">
        <f t="shared" si="2"/>
        <v>636.89800500000001</v>
      </c>
      <c r="K17" s="88">
        <f t="shared" si="6"/>
        <v>4462.4366250000003</v>
      </c>
    </row>
    <row r="18" spans="1:11" x14ac:dyDescent="0.45">
      <c r="A18" s="90">
        <f t="shared" si="3"/>
        <v>45573</v>
      </c>
      <c r="B18" s="38" t="str">
        <f t="shared" si="0"/>
        <v>Tue</v>
      </c>
      <c r="C18" s="99">
        <v>6.3701999999999994E-5</v>
      </c>
      <c r="D18" s="89">
        <f t="shared" si="1"/>
        <v>2.3251229999999998E-2</v>
      </c>
      <c r="E18" s="89">
        <f>AVERAGE(D11:D18)</f>
        <v>2.3147889375000001E-2</v>
      </c>
      <c r="F18" s="88">
        <f t="shared" si="4"/>
        <v>10085000</v>
      </c>
      <c r="G18" s="100">
        <v>150000</v>
      </c>
      <c r="H18" s="100"/>
      <c r="I18" s="88">
        <f t="shared" si="5"/>
        <v>10235000</v>
      </c>
      <c r="J18" s="88">
        <f t="shared" si="2"/>
        <v>651.98996999999997</v>
      </c>
      <c r="K18" s="88">
        <f t="shared" si="6"/>
        <v>5114.4265949999999</v>
      </c>
    </row>
    <row r="19" spans="1:11" x14ac:dyDescent="0.45">
      <c r="A19" s="90">
        <f t="shared" si="3"/>
        <v>45574</v>
      </c>
      <c r="B19" s="38" t="str">
        <f t="shared" si="0"/>
        <v>Wed</v>
      </c>
      <c r="C19" s="99">
        <v>6.3584000000000007E-5</v>
      </c>
      <c r="D19" s="89">
        <f t="shared" si="1"/>
        <v>2.3208160000000002E-2</v>
      </c>
      <c r="E19" s="89">
        <f t="shared" ref="E19:E24" si="7">AVERAGE(D12:D19)</f>
        <v>2.3143326874999998E-2</v>
      </c>
      <c r="F19" s="88">
        <f t="shared" si="4"/>
        <v>10235000</v>
      </c>
      <c r="G19" s="100"/>
      <c r="H19" s="100">
        <v>-60000</v>
      </c>
      <c r="I19" s="88">
        <f t="shared" si="5"/>
        <v>10175000</v>
      </c>
      <c r="J19" s="88">
        <f t="shared" si="2"/>
        <v>646.96720000000005</v>
      </c>
      <c r="K19" s="88">
        <f t="shared" si="6"/>
        <v>5761.393795</v>
      </c>
    </row>
    <row r="20" spans="1:11" x14ac:dyDescent="0.45">
      <c r="A20" s="90">
        <f t="shared" si="3"/>
        <v>45575</v>
      </c>
      <c r="B20" s="38" t="str">
        <f t="shared" si="0"/>
        <v>Thu</v>
      </c>
      <c r="C20" s="99">
        <v>6.3359000000000001E-5</v>
      </c>
      <c r="D20" s="89">
        <f t="shared" si="1"/>
        <v>2.3126035E-2</v>
      </c>
      <c r="E20" s="89">
        <f t="shared" si="7"/>
        <v>2.3137441249999998E-2</v>
      </c>
      <c r="F20" s="88">
        <f t="shared" si="4"/>
        <v>10175000</v>
      </c>
      <c r="G20" s="100"/>
      <c r="H20" s="100"/>
      <c r="I20" s="88">
        <f t="shared" si="5"/>
        <v>10175000</v>
      </c>
      <c r="J20" s="88">
        <f t="shared" si="2"/>
        <v>644.67782499999998</v>
      </c>
      <c r="K20" s="88">
        <f t="shared" si="6"/>
        <v>6406.0716199999997</v>
      </c>
    </row>
    <row r="21" spans="1:11" x14ac:dyDescent="0.45">
      <c r="A21" s="90">
        <f t="shared" si="3"/>
        <v>45576</v>
      </c>
      <c r="B21" s="38" t="str">
        <f t="shared" si="0"/>
        <v>Fri</v>
      </c>
      <c r="C21" s="99">
        <v>6.3891000000000002E-5</v>
      </c>
      <c r="D21" s="89">
        <f t="shared" si="1"/>
        <v>2.3320215000000002E-2</v>
      </c>
      <c r="E21" s="89">
        <f t="shared" si="7"/>
        <v>2.3148893125E-2</v>
      </c>
      <c r="F21" s="88">
        <f t="shared" si="4"/>
        <v>10175000</v>
      </c>
      <c r="G21" s="100"/>
      <c r="H21" s="100"/>
      <c r="I21" s="88">
        <f t="shared" si="5"/>
        <v>10175000</v>
      </c>
      <c r="J21" s="88">
        <f t="shared" si="2"/>
        <v>650.09092499999997</v>
      </c>
      <c r="K21" s="88">
        <f t="shared" si="6"/>
        <v>7056.1625449999992</v>
      </c>
    </row>
    <row r="22" spans="1:11" x14ac:dyDescent="0.45">
      <c r="A22" s="90">
        <f t="shared" si="3"/>
        <v>45577</v>
      </c>
      <c r="B22" s="38" t="str">
        <f t="shared" si="0"/>
        <v>Sat</v>
      </c>
      <c r="C22" s="99">
        <v>6.3891000000000002E-5</v>
      </c>
      <c r="D22" s="89">
        <f t="shared" si="1"/>
        <v>2.3320215000000002E-2</v>
      </c>
      <c r="E22" s="89">
        <f t="shared" si="7"/>
        <v>2.3179142500000003E-2</v>
      </c>
      <c r="F22" s="88">
        <f t="shared" si="4"/>
        <v>10175000</v>
      </c>
      <c r="G22" s="100"/>
      <c r="H22" s="100"/>
      <c r="I22" s="88">
        <f t="shared" si="5"/>
        <v>10175000</v>
      </c>
      <c r="J22" s="88">
        <f t="shared" si="2"/>
        <v>650.09092499999997</v>
      </c>
      <c r="K22" s="88">
        <f t="shared" si="6"/>
        <v>7706.2534699999997</v>
      </c>
    </row>
    <row r="23" spans="1:11" x14ac:dyDescent="0.45">
      <c r="A23" s="90">
        <f t="shared" si="3"/>
        <v>45578</v>
      </c>
      <c r="B23" s="38" t="str">
        <f t="shared" si="0"/>
        <v>Sun</v>
      </c>
      <c r="C23" s="99">
        <v>6.3891000000000002E-5</v>
      </c>
      <c r="D23" s="89">
        <f t="shared" si="1"/>
        <v>2.3320215000000002E-2</v>
      </c>
      <c r="E23" s="89">
        <f t="shared" si="7"/>
        <v>2.3209391875000002E-2</v>
      </c>
      <c r="F23" s="88">
        <f t="shared" si="4"/>
        <v>10175000</v>
      </c>
      <c r="G23" s="100"/>
      <c r="H23" s="100"/>
      <c r="I23" s="88">
        <f t="shared" si="5"/>
        <v>10175000</v>
      </c>
      <c r="J23" s="88">
        <f t="shared" si="2"/>
        <v>650.09092499999997</v>
      </c>
      <c r="K23" s="88">
        <f t="shared" si="6"/>
        <v>8356.3443950000001</v>
      </c>
    </row>
    <row r="24" spans="1:11" x14ac:dyDescent="0.45">
      <c r="A24" s="90">
        <f t="shared" si="3"/>
        <v>45579</v>
      </c>
      <c r="B24" s="38" t="str">
        <f t="shared" si="0"/>
        <v>Mon</v>
      </c>
      <c r="C24" s="99">
        <v>6.6903000000000006E-5</v>
      </c>
      <c r="D24" s="89">
        <f t="shared" si="1"/>
        <v>2.4419595000000002E-2</v>
      </c>
      <c r="E24" s="89">
        <f t="shared" si="7"/>
        <v>2.3377063750000003E-2</v>
      </c>
      <c r="F24" s="88">
        <f t="shared" si="4"/>
        <v>10175000</v>
      </c>
      <c r="G24" s="100">
        <v>250000</v>
      </c>
      <c r="H24" s="100"/>
      <c r="I24" s="88">
        <f t="shared" si="5"/>
        <v>10425000</v>
      </c>
      <c r="J24" s="88">
        <f t="shared" si="2"/>
        <v>697.46377500000006</v>
      </c>
      <c r="K24" s="88">
        <f t="shared" si="6"/>
        <v>9053.8081700000002</v>
      </c>
    </row>
    <row r="25" spans="1:11" x14ac:dyDescent="0.45">
      <c r="A25" s="90">
        <f t="shared" si="3"/>
        <v>45580</v>
      </c>
      <c r="B25" s="38" t="str">
        <f t="shared" si="0"/>
        <v>Tue</v>
      </c>
      <c r="C25" s="99"/>
      <c r="G25" s="100"/>
      <c r="H25" s="100"/>
      <c r="I25">
        <f t="shared" si="5"/>
        <v>0</v>
      </c>
      <c r="J25" s="88">
        <f t="shared" si="2"/>
        <v>0</v>
      </c>
      <c r="K25" s="88">
        <f t="shared" si="6"/>
        <v>9053.8081700000002</v>
      </c>
    </row>
    <row r="26" spans="1:11" x14ac:dyDescent="0.45">
      <c r="A26" s="90">
        <f t="shared" si="3"/>
        <v>45581</v>
      </c>
      <c r="B26" s="38" t="str">
        <f t="shared" si="0"/>
        <v>Wed</v>
      </c>
      <c r="C26" s="99"/>
      <c r="G26" s="100"/>
      <c r="H26" s="100"/>
      <c r="I26">
        <f t="shared" si="5"/>
        <v>0</v>
      </c>
      <c r="J26" s="88">
        <f t="shared" si="2"/>
        <v>0</v>
      </c>
      <c r="K26" s="88">
        <f t="shared" si="6"/>
        <v>9053.8081700000002</v>
      </c>
    </row>
    <row r="27" spans="1:11" x14ac:dyDescent="0.45">
      <c r="A27" s="90">
        <f t="shared" si="3"/>
        <v>45582</v>
      </c>
      <c r="B27" s="38" t="str">
        <f t="shared" si="0"/>
        <v>Thu</v>
      </c>
      <c r="C27" s="99"/>
      <c r="G27" s="100"/>
      <c r="H27" s="100"/>
      <c r="I27">
        <f t="shared" si="5"/>
        <v>0</v>
      </c>
      <c r="J27" s="88">
        <f t="shared" si="2"/>
        <v>0</v>
      </c>
      <c r="K27" s="88">
        <f t="shared" si="6"/>
        <v>9053.8081700000002</v>
      </c>
    </row>
    <row r="28" spans="1:11" x14ac:dyDescent="0.45">
      <c r="A28" s="90">
        <f t="shared" si="3"/>
        <v>45583</v>
      </c>
      <c r="B28" s="38" t="str">
        <f t="shared" si="0"/>
        <v>Fri</v>
      </c>
      <c r="C28" s="99"/>
      <c r="G28" s="100"/>
      <c r="H28" s="100"/>
      <c r="I28">
        <f t="shared" si="5"/>
        <v>0</v>
      </c>
      <c r="J28" s="88">
        <f t="shared" si="2"/>
        <v>0</v>
      </c>
      <c r="K28" s="88">
        <f t="shared" si="6"/>
        <v>9053.8081700000002</v>
      </c>
    </row>
    <row r="29" spans="1:11" x14ac:dyDescent="0.45">
      <c r="A29" s="90">
        <f t="shared" si="3"/>
        <v>45584</v>
      </c>
      <c r="B29" s="38" t="str">
        <f t="shared" si="0"/>
        <v>Sat</v>
      </c>
      <c r="C29" s="99"/>
      <c r="G29" s="100"/>
      <c r="H29" s="100"/>
      <c r="I29">
        <f t="shared" si="5"/>
        <v>0</v>
      </c>
      <c r="J29" s="88">
        <f t="shared" si="2"/>
        <v>0</v>
      </c>
      <c r="K29" s="88">
        <f t="shared" si="6"/>
        <v>9053.8081700000002</v>
      </c>
    </row>
    <row r="30" spans="1:11" x14ac:dyDescent="0.45">
      <c r="A30" s="90">
        <f t="shared" si="3"/>
        <v>45585</v>
      </c>
      <c r="B30" s="38" t="str">
        <f t="shared" si="0"/>
        <v>Sun</v>
      </c>
      <c r="C30" s="99"/>
      <c r="G30" s="100"/>
      <c r="H30" s="100"/>
      <c r="I30">
        <f t="shared" si="5"/>
        <v>0</v>
      </c>
      <c r="J30" s="88">
        <f t="shared" si="2"/>
        <v>0</v>
      </c>
      <c r="K30" s="88">
        <f t="shared" si="6"/>
        <v>9053.8081700000002</v>
      </c>
    </row>
    <row r="31" spans="1:11" x14ac:dyDescent="0.45">
      <c r="A31" s="90">
        <f t="shared" si="3"/>
        <v>45586</v>
      </c>
      <c r="B31" s="38" t="str">
        <f t="shared" si="0"/>
        <v>Mon</v>
      </c>
      <c r="C31" s="99"/>
      <c r="G31" s="100"/>
      <c r="H31" s="100"/>
      <c r="I31">
        <f t="shared" si="5"/>
        <v>0</v>
      </c>
      <c r="J31" s="88">
        <f t="shared" si="2"/>
        <v>0</v>
      </c>
      <c r="K31" s="88">
        <f t="shared" si="6"/>
        <v>9053.8081700000002</v>
      </c>
    </row>
    <row r="32" spans="1:11" x14ac:dyDescent="0.45">
      <c r="A32" s="90">
        <f t="shared" si="3"/>
        <v>45587</v>
      </c>
      <c r="B32" s="38" t="str">
        <f t="shared" si="0"/>
        <v>Tue</v>
      </c>
      <c r="C32" s="99"/>
      <c r="G32" s="100"/>
      <c r="H32" s="100"/>
      <c r="I32">
        <f t="shared" si="5"/>
        <v>0</v>
      </c>
      <c r="J32" s="88">
        <f t="shared" si="2"/>
        <v>0</v>
      </c>
      <c r="K32" s="88">
        <f t="shared" si="6"/>
        <v>9053.8081700000002</v>
      </c>
    </row>
    <row r="33" spans="1:11" x14ac:dyDescent="0.45">
      <c r="A33" s="90">
        <f t="shared" si="3"/>
        <v>45588</v>
      </c>
      <c r="B33" s="38" t="str">
        <f t="shared" si="0"/>
        <v>Wed</v>
      </c>
      <c r="C33" s="99"/>
      <c r="G33" s="100"/>
      <c r="H33" s="100"/>
      <c r="I33">
        <f t="shared" si="5"/>
        <v>0</v>
      </c>
      <c r="J33" s="88">
        <f t="shared" si="2"/>
        <v>0</v>
      </c>
      <c r="K33" s="88">
        <f t="shared" si="6"/>
        <v>9053.8081700000002</v>
      </c>
    </row>
    <row r="34" spans="1:11" x14ac:dyDescent="0.45">
      <c r="A34" s="90">
        <f t="shared" si="3"/>
        <v>45589</v>
      </c>
      <c r="B34" s="38" t="str">
        <f t="shared" si="0"/>
        <v>Thu</v>
      </c>
      <c r="C34" s="99"/>
      <c r="G34" s="100"/>
      <c r="H34" s="100"/>
      <c r="I34">
        <f t="shared" si="5"/>
        <v>0</v>
      </c>
      <c r="J34" s="88">
        <f t="shared" si="2"/>
        <v>0</v>
      </c>
      <c r="K34" s="88">
        <f t="shared" si="6"/>
        <v>9053.8081700000002</v>
      </c>
    </row>
    <row r="35" spans="1:11" x14ac:dyDescent="0.45">
      <c r="A35" s="90">
        <f t="shared" si="3"/>
        <v>45590</v>
      </c>
      <c r="B35" s="38" t="str">
        <f t="shared" si="0"/>
        <v>Fri</v>
      </c>
      <c r="C35" s="99"/>
      <c r="G35" s="100"/>
      <c r="H35" s="100"/>
      <c r="I35">
        <f t="shared" si="5"/>
        <v>0</v>
      </c>
      <c r="J35" s="88">
        <f t="shared" si="2"/>
        <v>0</v>
      </c>
      <c r="K35" s="88">
        <f t="shared" si="6"/>
        <v>9053.8081700000002</v>
      </c>
    </row>
    <row r="36" spans="1:11" x14ac:dyDescent="0.45">
      <c r="A36" s="90">
        <f t="shared" si="3"/>
        <v>45591</v>
      </c>
      <c r="B36" s="38" t="str">
        <f t="shared" si="0"/>
        <v>Sat</v>
      </c>
      <c r="C36" s="99"/>
      <c r="G36" s="100"/>
      <c r="H36" s="100"/>
      <c r="I36">
        <f t="shared" si="5"/>
        <v>0</v>
      </c>
      <c r="J36" s="88">
        <f t="shared" si="2"/>
        <v>0</v>
      </c>
      <c r="K36" s="88">
        <f t="shared" si="6"/>
        <v>9053.8081700000002</v>
      </c>
    </row>
    <row r="37" spans="1:11" x14ac:dyDescent="0.45">
      <c r="A37" s="90">
        <f t="shared" si="3"/>
        <v>45592</v>
      </c>
      <c r="B37" s="38" t="str">
        <f t="shared" si="0"/>
        <v>Sun</v>
      </c>
      <c r="C37" s="99"/>
      <c r="G37" s="100"/>
      <c r="H37" s="100"/>
      <c r="I37">
        <f t="shared" si="5"/>
        <v>0</v>
      </c>
      <c r="J37" s="88">
        <f t="shared" si="2"/>
        <v>0</v>
      </c>
      <c r="K37" s="88">
        <f t="shared" si="6"/>
        <v>9053.8081700000002</v>
      </c>
    </row>
    <row r="38" spans="1:11" x14ac:dyDescent="0.45">
      <c r="A38" s="90">
        <f t="shared" si="3"/>
        <v>45593</v>
      </c>
      <c r="B38" s="38" t="str">
        <f t="shared" si="0"/>
        <v>Mon</v>
      </c>
      <c r="C38" s="99"/>
      <c r="G38" s="100"/>
      <c r="H38" s="100"/>
      <c r="I38">
        <f t="shared" si="5"/>
        <v>0</v>
      </c>
      <c r="J38" s="88">
        <f t="shared" si="2"/>
        <v>0</v>
      </c>
      <c r="K38" s="88">
        <f t="shared" si="6"/>
        <v>9053.8081700000002</v>
      </c>
    </row>
    <row r="39" spans="1:11" x14ac:dyDescent="0.45">
      <c r="A39" s="90">
        <f t="shared" si="3"/>
        <v>45594</v>
      </c>
      <c r="B39" s="38" t="str">
        <f t="shared" si="0"/>
        <v>Tue</v>
      </c>
      <c r="C39" s="99"/>
      <c r="G39" s="100"/>
      <c r="H39" s="100"/>
      <c r="I39">
        <f t="shared" si="5"/>
        <v>0</v>
      </c>
      <c r="J39" s="88">
        <f t="shared" si="2"/>
        <v>0</v>
      </c>
      <c r="K39" s="88">
        <f t="shared" si="6"/>
        <v>9053.8081700000002</v>
      </c>
    </row>
    <row r="40" spans="1:11" x14ac:dyDescent="0.45">
      <c r="A40" s="90">
        <f t="shared" si="3"/>
        <v>45595</v>
      </c>
      <c r="B40" s="38" t="str">
        <f t="shared" si="0"/>
        <v>Wed</v>
      </c>
      <c r="C40" s="99"/>
      <c r="G40" s="100"/>
      <c r="H40" s="100"/>
      <c r="I40">
        <f t="shared" si="5"/>
        <v>0</v>
      </c>
      <c r="J40" s="88">
        <f t="shared" si="2"/>
        <v>0</v>
      </c>
      <c r="K40" s="88">
        <f t="shared" si="6"/>
        <v>9053.8081700000002</v>
      </c>
    </row>
    <row r="41" spans="1:11" x14ac:dyDescent="0.45">
      <c r="A41" s="90">
        <f t="shared" si="3"/>
        <v>45596</v>
      </c>
      <c r="B41" s="38" t="str">
        <f t="shared" ref="B41" si="8">TEXT(A41,"ddd")</f>
        <v>Thu</v>
      </c>
      <c r="C41" s="99"/>
      <c r="G41" s="100"/>
      <c r="H41" s="100"/>
      <c r="I41">
        <f t="shared" ref="I41" si="9">(F41+G41+H41)</f>
        <v>0</v>
      </c>
      <c r="J41" s="88">
        <f t="shared" ref="J41" si="10">(I41*C41)</f>
        <v>0</v>
      </c>
      <c r="K41" s="88">
        <f t="shared" ref="K41" si="11">(K40+J41)</f>
        <v>9053.8081700000002</v>
      </c>
    </row>
    <row r="42" spans="1:11" ht="15.75" x14ac:dyDescent="0.5">
      <c r="A42" s="92" t="s">
        <v>616</v>
      </c>
      <c r="B42" s="92"/>
      <c r="C42" s="93">
        <f>AVERAGE(C11:C41)</f>
        <v>6.377642857142857E-5</v>
      </c>
      <c r="D42" s="94">
        <f>AVERAGE(D11:D41)</f>
        <v>2.3278396428571428E-2</v>
      </c>
      <c r="E42" s="94">
        <f>AVERAGE(E11:E41)</f>
        <v>2.3191878392857145E-2</v>
      </c>
      <c r="F42" s="95"/>
      <c r="G42" s="96">
        <f>SUM(G11:G41)</f>
        <v>525000</v>
      </c>
      <c r="H42" s="96">
        <f>SUM(H11:H41)</f>
        <v>-100000</v>
      </c>
      <c r="I42" s="95"/>
      <c r="J42" s="96">
        <f>SUM(J11:J41)</f>
        <v>9053.8081700000002</v>
      </c>
      <c r="K42" s="96">
        <f>+K41</f>
        <v>9053.8081700000002</v>
      </c>
    </row>
  </sheetData>
  <pageMargins left="0.7" right="0.7" top="0.75" bottom="0.75" header="0.3" footer="0.3"/>
  <pageSetup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theme="4" tint="0.79998168889431442"/>
  </sheetPr>
  <dimension ref="A1:G25"/>
  <sheetViews>
    <sheetView workbookViewId="0">
      <selection activeCell="G8" sqref="G8"/>
    </sheetView>
  </sheetViews>
  <sheetFormatPr defaultColWidth="9.1328125" defaultRowHeight="15.75" x14ac:dyDescent="0.5"/>
  <cols>
    <col min="1" max="1" width="25.265625" style="3" customWidth="1"/>
    <col min="2" max="2" width="20.73046875" style="3" customWidth="1"/>
    <col min="3" max="6" width="15.73046875" style="3" customWidth="1"/>
    <col min="7" max="7" width="13.73046875" style="3" bestFit="1" customWidth="1"/>
    <col min="8" max="16384" width="9.1328125" style="3"/>
  </cols>
  <sheetData>
    <row r="1" spans="1:7" ht="24" customHeight="1" x14ac:dyDescent="0.7">
      <c r="A1" s="1" t="s">
        <v>231</v>
      </c>
    </row>
    <row r="4" spans="1:7" ht="18" x14ac:dyDescent="0.55000000000000004">
      <c r="A4" s="2" t="s">
        <v>232</v>
      </c>
      <c r="B4" s="3" t="s">
        <v>233</v>
      </c>
    </row>
    <row r="5" spans="1:7" x14ac:dyDescent="0.5">
      <c r="B5" s="3" t="s">
        <v>234</v>
      </c>
      <c r="E5" s="12"/>
    </row>
    <row r="7" spans="1:7" x14ac:dyDescent="0.5">
      <c r="B7" s="3" t="s">
        <v>134</v>
      </c>
      <c r="C7" s="28">
        <v>42767</v>
      </c>
      <c r="E7" s="8" t="s">
        <v>235</v>
      </c>
      <c r="G7" s="3" t="s">
        <v>1304</v>
      </c>
    </row>
    <row r="8" spans="1:7" x14ac:dyDescent="0.5">
      <c r="B8" s="3" t="s">
        <v>145</v>
      </c>
      <c r="C8" s="28">
        <v>42916</v>
      </c>
      <c r="E8" s="21">
        <f>TBILLEQ(C7,C8,C9)</f>
        <v>2.5612237737702621E-2</v>
      </c>
      <c r="G8" s="19">
        <f>((100-98.965)/98.965)*365/149</f>
        <v>2.5619185414679432E-2</v>
      </c>
    </row>
    <row r="9" spans="1:7" x14ac:dyDescent="0.5">
      <c r="B9" s="3" t="s">
        <v>148</v>
      </c>
      <c r="C9" s="9">
        <v>2.5000000000000001E-2</v>
      </c>
    </row>
    <row r="12" spans="1:7" ht="18" x14ac:dyDescent="0.55000000000000004">
      <c r="A12" s="2" t="s">
        <v>236</v>
      </c>
      <c r="B12" s="3" t="s">
        <v>237</v>
      </c>
    </row>
    <row r="13" spans="1:7" x14ac:dyDescent="0.5">
      <c r="B13" s="3" t="s">
        <v>238</v>
      </c>
    </row>
    <row r="15" spans="1:7" x14ac:dyDescent="0.5">
      <c r="B15" s="3" t="s">
        <v>134</v>
      </c>
      <c r="C15" s="28">
        <v>42767</v>
      </c>
      <c r="E15" s="8" t="s">
        <v>239</v>
      </c>
      <c r="G15" s="3" t="s">
        <v>1302</v>
      </c>
    </row>
    <row r="16" spans="1:7" x14ac:dyDescent="0.5">
      <c r="B16" s="3" t="s">
        <v>145</v>
      </c>
      <c r="C16" s="28">
        <v>42916</v>
      </c>
      <c r="E16" s="22">
        <f>TBILLPRICE(C15,C16,C17)</f>
        <v>98.861805555555563</v>
      </c>
      <c r="G16" s="19">
        <f>100*(1-(0.0275*149)/360)</f>
        <v>98.861805555555563</v>
      </c>
    </row>
    <row r="17" spans="1:7" x14ac:dyDescent="0.5">
      <c r="B17" s="3" t="s">
        <v>148</v>
      </c>
      <c r="C17" s="9">
        <v>2.75E-2</v>
      </c>
    </row>
    <row r="20" spans="1:7" ht="18" x14ac:dyDescent="0.55000000000000004">
      <c r="A20" s="2" t="s">
        <v>240</v>
      </c>
      <c r="B20" s="3" t="s">
        <v>241</v>
      </c>
    </row>
    <row r="21" spans="1:7" x14ac:dyDescent="0.5">
      <c r="B21" s="3" t="s">
        <v>242</v>
      </c>
    </row>
    <row r="23" spans="1:7" x14ac:dyDescent="0.5">
      <c r="B23" s="3" t="s">
        <v>134</v>
      </c>
      <c r="C23" s="28">
        <v>42767</v>
      </c>
      <c r="E23" s="8" t="s">
        <v>239</v>
      </c>
      <c r="G23" s="3" t="s">
        <v>1303</v>
      </c>
    </row>
    <row r="24" spans="1:7" x14ac:dyDescent="0.5">
      <c r="B24" s="3" t="s">
        <v>145</v>
      </c>
      <c r="C24" s="28">
        <v>42916</v>
      </c>
      <c r="E24" s="21">
        <f>TBILLYIELD(C23,C24,C25)</f>
        <v>2.4405125076266018E-2</v>
      </c>
      <c r="G24" s="19">
        <f>(((100-99)/99)*100)*(360/149)</f>
        <v>2.4405125076266017</v>
      </c>
    </row>
    <row r="25" spans="1:7" x14ac:dyDescent="0.5">
      <c r="B25" s="3" t="s">
        <v>177</v>
      </c>
      <c r="C25" s="10">
        <v>99</v>
      </c>
    </row>
  </sheetData>
  <pageMargins left="0.7" right="0.7" top="0.75" bottom="0.75" header="0.3" footer="0.3"/>
  <pageSetup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theme="4" tint="0.79998168889431442"/>
  </sheetPr>
  <dimension ref="A1:J66"/>
  <sheetViews>
    <sheetView topLeftCell="A12" workbookViewId="0">
      <selection activeCell="B21" sqref="B21"/>
    </sheetView>
  </sheetViews>
  <sheetFormatPr defaultRowHeight="14.25" x14ac:dyDescent="0.45"/>
  <cols>
    <col min="1" max="1" width="36" customWidth="1"/>
    <col min="2" max="2" width="18.86328125" customWidth="1"/>
    <col min="3" max="3" width="12.3984375" customWidth="1"/>
    <col min="4" max="4" width="13.3984375" customWidth="1"/>
    <col min="5" max="5" width="17" style="88" customWidth="1"/>
    <col min="257" max="257" width="24.59765625" customWidth="1"/>
    <col min="258" max="258" width="18.86328125" customWidth="1"/>
    <col min="259" max="259" width="12.3984375" customWidth="1"/>
    <col min="260" max="260" width="13.3984375" customWidth="1"/>
    <col min="261" max="261" width="17" customWidth="1"/>
    <col min="513" max="513" width="24.59765625" customWidth="1"/>
    <col min="514" max="514" width="18.86328125" customWidth="1"/>
    <col min="515" max="515" width="12.3984375" customWidth="1"/>
    <col min="516" max="516" width="13.3984375" customWidth="1"/>
    <col min="517" max="517" width="17" customWidth="1"/>
    <col min="769" max="769" width="24.59765625" customWidth="1"/>
    <col min="770" max="770" width="18.86328125" customWidth="1"/>
    <col min="771" max="771" width="12.3984375" customWidth="1"/>
    <col min="772" max="772" width="13.3984375" customWidth="1"/>
    <col min="773" max="773" width="17" customWidth="1"/>
    <col min="1025" max="1025" width="24.59765625" customWidth="1"/>
    <col min="1026" max="1026" width="18.86328125" customWidth="1"/>
    <col min="1027" max="1027" width="12.3984375" customWidth="1"/>
    <col min="1028" max="1028" width="13.3984375" customWidth="1"/>
    <col min="1029" max="1029" width="17" customWidth="1"/>
    <col min="1281" max="1281" width="24.59765625" customWidth="1"/>
    <col min="1282" max="1282" width="18.86328125" customWidth="1"/>
    <col min="1283" max="1283" width="12.3984375" customWidth="1"/>
    <col min="1284" max="1284" width="13.3984375" customWidth="1"/>
    <col min="1285" max="1285" width="17" customWidth="1"/>
    <col min="1537" max="1537" width="24.59765625" customWidth="1"/>
    <col min="1538" max="1538" width="18.86328125" customWidth="1"/>
    <col min="1539" max="1539" width="12.3984375" customWidth="1"/>
    <col min="1540" max="1540" width="13.3984375" customWidth="1"/>
    <col min="1541" max="1541" width="17" customWidth="1"/>
    <col min="1793" max="1793" width="24.59765625" customWidth="1"/>
    <col min="1794" max="1794" width="18.86328125" customWidth="1"/>
    <col min="1795" max="1795" width="12.3984375" customWidth="1"/>
    <col min="1796" max="1796" width="13.3984375" customWidth="1"/>
    <col min="1797" max="1797" width="17" customWidth="1"/>
    <col min="2049" max="2049" width="24.59765625" customWidth="1"/>
    <col min="2050" max="2050" width="18.86328125" customWidth="1"/>
    <col min="2051" max="2051" width="12.3984375" customWidth="1"/>
    <col min="2052" max="2052" width="13.3984375" customWidth="1"/>
    <col min="2053" max="2053" width="17" customWidth="1"/>
    <col min="2305" max="2305" width="24.59765625" customWidth="1"/>
    <col min="2306" max="2306" width="18.86328125" customWidth="1"/>
    <col min="2307" max="2307" width="12.3984375" customWidth="1"/>
    <col min="2308" max="2308" width="13.3984375" customWidth="1"/>
    <col min="2309" max="2309" width="17" customWidth="1"/>
    <col min="2561" max="2561" width="24.59765625" customWidth="1"/>
    <col min="2562" max="2562" width="18.86328125" customWidth="1"/>
    <col min="2563" max="2563" width="12.3984375" customWidth="1"/>
    <col min="2564" max="2564" width="13.3984375" customWidth="1"/>
    <col min="2565" max="2565" width="17" customWidth="1"/>
    <col min="2817" max="2817" width="24.59765625" customWidth="1"/>
    <col min="2818" max="2818" width="18.86328125" customWidth="1"/>
    <col min="2819" max="2819" width="12.3984375" customWidth="1"/>
    <col min="2820" max="2820" width="13.3984375" customWidth="1"/>
    <col min="2821" max="2821" width="17" customWidth="1"/>
    <col min="3073" max="3073" width="24.59765625" customWidth="1"/>
    <col min="3074" max="3074" width="18.86328125" customWidth="1"/>
    <col min="3075" max="3075" width="12.3984375" customWidth="1"/>
    <col min="3076" max="3076" width="13.3984375" customWidth="1"/>
    <col min="3077" max="3077" width="17" customWidth="1"/>
    <col min="3329" max="3329" width="24.59765625" customWidth="1"/>
    <col min="3330" max="3330" width="18.86328125" customWidth="1"/>
    <col min="3331" max="3331" width="12.3984375" customWidth="1"/>
    <col min="3332" max="3332" width="13.3984375" customWidth="1"/>
    <col min="3333" max="3333" width="17" customWidth="1"/>
    <col min="3585" max="3585" width="24.59765625" customWidth="1"/>
    <col min="3586" max="3586" width="18.86328125" customWidth="1"/>
    <col min="3587" max="3587" width="12.3984375" customWidth="1"/>
    <col min="3588" max="3588" width="13.3984375" customWidth="1"/>
    <col min="3589" max="3589" width="17" customWidth="1"/>
    <col min="3841" max="3841" width="24.59765625" customWidth="1"/>
    <col min="3842" max="3842" width="18.86328125" customWidth="1"/>
    <col min="3843" max="3843" width="12.3984375" customWidth="1"/>
    <col min="3844" max="3844" width="13.3984375" customWidth="1"/>
    <col min="3845" max="3845" width="17" customWidth="1"/>
    <col min="4097" max="4097" width="24.59765625" customWidth="1"/>
    <col min="4098" max="4098" width="18.86328125" customWidth="1"/>
    <col min="4099" max="4099" width="12.3984375" customWidth="1"/>
    <col min="4100" max="4100" width="13.3984375" customWidth="1"/>
    <col min="4101" max="4101" width="17" customWidth="1"/>
    <col min="4353" max="4353" width="24.59765625" customWidth="1"/>
    <col min="4354" max="4354" width="18.86328125" customWidth="1"/>
    <col min="4355" max="4355" width="12.3984375" customWidth="1"/>
    <col min="4356" max="4356" width="13.3984375" customWidth="1"/>
    <col min="4357" max="4357" width="17" customWidth="1"/>
    <col min="4609" max="4609" width="24.59765625" customWidth="1"/>
    <col min="4610" max="4610" width="18.86328125" customWidth="1"/>
    <col min="4611" max="4611" width="12.3984375" customWidth="1"/>
    <col min="4612" max="4612" width="13.3984375" customWidth="1"/>
    <col min="4613" max="4613" width="17" customWidth="1"/>
    <col min="4865" max="4865" width="24.59765625" customWidth="1"/>
    <col min="4866" max="4866" width="18.86328125" customWidth="1"/>
    <col min="4867" max="4867" width="12.3984375" customWidth="1"/>
    <col min="4868" max="4868" width="13.3984375" customWidth="1"/>
    <col min="4869" max="4869" width="17" customWidth="1"/>
    <col min="5121" max="5121" width="24.59765625" customWidth="1"/>
    <col min="5122" max="5122" width="18.86328125" customWidth="1"/>
    <col min="5123" max="5123" width="12.3984375" customWidth="1"/>
    <col min="5124" max="5124" width="13.3984375" customWidth="1"/>
    <col min="5125" max="5125" width="17" customWidth="1"/>
    <col min="5377" max="5377" width="24.59765625" customWidth="1"/>
    <col min="5378" max="5378" width="18.86328125" customWidth="1"/>
    <col min="5379" max="5379" width="12.3984375" customWidth="1"/>
    <col min="5380" max="5380" width="13.3984375" customWidth="1"/>
    <col min="5381" max="5381" width="17" customWidth="1"/>
    <col min="5633" max="5633" width="24.59765625" customWidth="1"/>
    <col min="5634" max="5634" width="18.86328125" customWidth="1"/>
    <col min="5635" max="5635" width="12.3984375" customWidth="1"/>
    <col min="5636" max="5636" width="13.3984375" customWidth="1"/>
    <col min="5637" max="5637" width="17" customWidth="1"/>
    <col min="5889" max="5889" width="24.59765625" customWidth="1"/>
    <col min="5890" max="5890" width="18.86328125" customWidth="1"/>
    <col min="5891" max="5891" width="12.3984375" customWidth="1"/>
    <col min="5892" max="5892" width="13.3984375" customWidth="1"/>
    <col min="5893" max="5893" width="17" customWidth="1"/>
    <col min="6145" max="6145" width="24.59765625" customWidth="1"/>
    <col min="6146" max="6146" width="18.86328125" customWidth="1"/>
    <col min="6147" max="6147" width="12.3984375" customWidth="1"/>
    <col min="6148" max="6148" width="13.3984375" customWidth="1"/>
    <col min="6149" max="6149" width="17" customWidth="1"/>
    <col min="6401" max="6401" width="24.59765625" customWidth="1"/>
    <col min="6402" max="6402" width="18.86328125" customWidth="1"/>
    <col min="6403" max="6403" width="12.3984375" customWidth="1"/>
    <col min="6404" max="6404" width="13.3984375" customWidth="1"/>
    <col min="6405" max="6405" width="17" customWidth="1"/>
    <col min="6657" max="6657" width="24.59765625" customWidth="1"/>
    <col min="6658" max="6658" width="18.86328125" customWidth="1"/>
    <col min="6659" max="6659" width="12.3984375" customWidth="1"/>
    <col min="6660" max="6660" width="13.3984375" customWidth="1"/>
    <col min="6661" max="6661" width="17" customWidth="1"/>
    <col min="6913" max="6913" width="24.59765625" customWidth="1"/>
    <col min="6914" max="6914" width="18.86328125" customWidth="1"/>
    <col min="6915" max="6915" width="12.3984375" customWidth="1"/>
    <col min="6916" max="6916" width="13.3984375" customWidth="1"/>
    <col min="6917" max="6917" width="17" customWidth="1"/>
    <col min="7169" max="7169" width="24.59765625" customWidth="1"/>
    <col min="7170" max="7170" width="18.86328125" customWidth="1"/>
    <col min="7171" max="7171" width="12.3984375" customWidth="1"/>
    <col min="7172" max="7172" width="13.3984375" customWidth="1"/>
    <col min="7173" max="7173" width="17" customWidth="1"/>
    <col min="7425" max="7425" width="24.59765625" customWidth="1"/>
    <col min="7426" max="7426" width="18.86328125" customWidth="1"/>
    <col min="7427" max="7427" width="12.3984375" customWidth="1"/>
    <col min="7428" max="7428" width="13.3984375" customWidth="1"/>
    <col min="7429" max="7429" width="17" customWidth="1"/>
    <col min="7681" max="7681" width="24.59765625" customWidth="1"/>
    <col min="7682" max="7682" width="18.86328125" customWidth="1"/>
    <col min="7683" max="7683" width="12.3984375" customWidth="1"/>
    <col min="7684" max="7684" width="13.3984375" customWidth="1"/>
    <col min="7685" max="7685" width="17" customWidth="1"/>
    <col min="7937" max="7937" width="24.59765625" customWidth="1"/>
    <col min="7938" max="7938" width="18.86328125" customWidth="1"/>
    <col min="7939" max="7939" width="12.3984375" customWidth="1"/>
    <col min="7940" max="7940" width="13.3984375" customWidth="1"/>
    <col min="7941" max="7941" width="17" customWidth="1"/>
    <col min="8193" max="8193" width="24.59765625" customWidth="1"/>
    <col min="8194" max="8194" width="18.86328125" customWidth="1"/>
    <col min="8195" max="8195" width="12.3984375" customWidth="1"/>
    <col min="8196" max="8196" width="13.3984375" customWidth="1"/>
    <col min="8197" max="8197" width="17" customWidth="1"/>
    <col min="8449" max="8449" width="24.59765625" customWidth="1"/>
    <col min="8450" max="8450" width="18.86328125" customWidth="1"/>
    <col min="8451" max="8451" width="12.3984375" customWidth="1"/>
    <col min="8452" max="8452" width="13.3984375" customWidth="1"/>
    <col min="8453" max="8453" width="17" customWidth="1"/>
    <col min="8705" max="8705" width="24.59765625" customWidth="1"/>
    <col min="8706" max="8706" width="18.86328125" customWidth="1"/>
    <col min="8707" max="8707" width="12.3984375" customWidth="1"/>
    <col min="8708" max="8708" width="13.3984375" customWidth="1"/>
    <col min="8709" max="8709" width="17" customWidth="1"/>
    <col min="8961" max="8961" width="24.59765625" customWidth="1"/>
    <col min="8962" max="8962" width="18.86328125" customWidth="1"/>
    <col min="8963" max="8963" width="12.3984375" customWidth="1"/>
    <col min="8964" max="8964" width="13.3984375" customWidth="1"/>
    <col min="8965" max="8965" width="17" customWidth="1"/>
    <col min="9217" max="9217" width="24.59765625" customWidth="1"/>
    <col min="9218" max="9218" width="18.86328125" customWidth="1"/>
    <col min="9219" max="9219" width="12.3984375" customWidth="1"/>
    <col min="9220" max="9220" width="13.3984375" customWidth="1"/>
    <col min="9221" max="9221" width="17" customWidth="1"/>
    <col min="9473" max="9473" width="24.59765625" customWidth="1"/>
    <col min="9474" max="9474" width="18.86328125" customWidth="1"/>
    <col min="9475" max="9475" width="12.3984375" customWidth="1"/>
    <col min="9476" max="9476" width="13.3984375" customWidth="1"/>
    <col min="9477" max="9477" width="17" customWidth="1"/>
    <col min="9729" max="9729" width="24.59765625" customWidth="1"/>
    <col min="9730" max="9730" width="18.86328125" customWidth="1"/>
    <col min="9731" max="9731" width="12.3984375" customWidth="1"/>
    <col min="9732" max="9732" width="13.3984375" customWidth="1"/>
    <col min="9733" max="9733" width="17" customWidth="1"/>
    <col min="9985" max="9985" width="24.59765625" customWidth="1"/>
    <col min="9986" max="9986" width="18.86328125" customWidth="1"/>
    <col min="9987" max="9987" width="12.3984375" customWidth="1"/>
    <col min="9988" max="9988" width="13.3984375" customWidth="1"/>
    <col min="9989" max="9989" width="17" customWidth="1"/>
    <col min="10241" max="10241" width="24.59765625" customWidth="1"/>
    <col min="10242" max="10242" width="18.86328125" customWidth="1"/>
    <col min="10243" max="10243" width="12.3984375" customWidth="1"/>
    <col min="10244" max="10244" width="13.3984375" customWidth="1"/>
    <col min="10245" max="10245" width="17" customWidth="1"/>
    <col min="10497" max="10497" width="24.59765625" customWidth="1"/>
    <col min="10498" max="10498" width="18.86328125" customWidth="1"/>
    <col min="10499" max="10499" width="12.3984375" customWidth="1"/>
    <col min="10500" max="10500" width="13.3984375" customWidth="1"/>
    <col min="10501" max="10501" width="17" customWidth="1"/>
    <col min="10753" max="10753" width="24.59765625" customWidth="1"/>
    <col min="10754" max="10754" width="18.86328125" customWidth="1"/>
    <col min="10755" max="10755" width="12.3984375" customWidth="1"/>
    <col min="10756" max="10756" width="13.3984375" customWidth="1"/>
    <col min="10757" max="10757" width="17" customWidth="1"/>
    <col min="11009" max="11009" width="24.59765625" customWidth="1"/>
    <col min="11010" max="11010" width="18.86328125" customWidth="1"/>
    <col min="11011" max="11011" width="12.3984375" customWidth="1"/>
    <col min="11012" max="11012" width="13.3984375" customWidth="1"/>
    <col min="11013" max="11013" width="17" customWidth="1"/>
    <col min="11265" max="11265" width="24.59765625" customWidth="1"/>
    <col min="11266" max="11266" width="18.86328125" customWidth="1"/>
    <col min="11267" max="11267" width="12.3984375" customWidth="1"/>
    <col min="11268" max="11268" width="13.3984375" customWidth="1"/>
    <col min="11269" max="11269" width="17" customWidth="1"/>
    <col min="11521" max="11521" width="24.59765625" customWidth="1"/>
    <col min="11522" max="11522" width="18.86328125" customWidth="1"/>
    <col min="11523" max="11523" width="12.3984375" customWidth="1"/>
    <col min="11524" max="11524" width="13.3984375" customWidth="1"/>
    <col min="11525" max="11525" width="17" customWidth="1"/>
    <col min="11777" max="11777" width="24.59765625" customWidth="1"/>
    <col min="11778" max="11778" width="18.86328125" customWidth="1"/>
    <col min="11779" max="11779" width="12.3984375" customWidth="1"/>
    <col min="11780" max="11780" width="13.3984375" customWidth="1"/>
    <col min="11781" max="11781" width="17" customWidth="1"/>
    <col min="12033" max="12033" width="24.59765625" customWidth="1"/>
    <col min="12034" max="12034" width="18.86328125" customWidth="1"/>
    <col min="12035" max="12035" width="12.3984375" customWidth="1"/>
    <col min="12036" max="12036" width="13.3984375" customWidth="1"/>
    <col min="12037" max="12037" width="17" customWidth="1"/>
    <col min="12289" max="12289" width="24.59765625" customWidth="1"/>
    <col min="12290" max="12290" width="18.86328125" customWidth="1"/>
    <col min="12291" max="12291" width="12.3984375" customWidth="1"/>
    <col min="12292" max="12292" width="13.3984375" customWidth="1"/>
    <col min="12293" max="12293" width="17" customWidth="1"/>
    <col min="12545" max="12545" width="24.59765625" customWidth="1"/>
    <col min="12546" max="12546" width="18.86328125" customWidth="1"/>
    <col min="12547" max="12547" width="12.3984375" customWidth="1"/>
    <col min="12548" max="12548" width="13.3984375" customWidth="1"/>
    <col min="12549" max="12549" width="17" customWidth="1"/>
    <col min="12801" max="12801" width="24.59765625" customWidth="1"/>
    <col min="12802" max="12802" width="18.86328125" customWidth="1"/>
    <col min="12803" max="12803" width="12.3984375" customWidth="1"/>
    <col min="12804" max="12804" width="13.3984375" customWidth="1"/>
    <col min="12805" max="12805" width="17" customWidth="1"/>
    <col min="13057" max="13057" width="24.59765625" customWidth="1"/>
    <col min="13058" max="13058" width="18.86328125" customWidth="1"/>
    <col min="13059" max="13059" width="12.3984375" customWidth="1"/>
    <col min="13060" max="13060" width="13.3984375" customWidth="1"/>
    <col min="13061" max="13061" width="17" customWidth="1"/>
    <col min="13313" max="13313" width="24.59765625" customWidth="1"/>
    <col min="13314" max="13314" width="18.86328125" customWidth="1"/>
    <col min="13315" max="13315" width="12.3984375" customWidth="1"/>
    <col min="13316" max="13316" width="13.3984375" customWidth="1"/>
    <col min="13317" max="13317" width="17" customWidth="1"/>
    <col min="13569" max="13569" width="24.59765625" customWidth="1"/>
    <col min="13570" max="13570" width="18.86328125" customWidth="1"/>
    <col min="13571" max="13571" width="12.3984375" customWidth="1"/>
    <col min="13572" max="13572" width="13.3984375" customWidth="1"/>
    <col min="13573" max="13573" width="17" customWidth="1"/>
    <col min="13825" max="13825" width="24.59765625" customWidth="1"/>
    <col min="13826" max="13826" width="18.86328125" customWidth="1"/>
    <col min="13827" max="13827" width="12.3984375" customWidth="1"/>
    <col min="13828" max="13828" width="13.3984375" customWidth="1"/>
    <col min="13829" max="13829" width="17" customWidth="1"/>
    <col min="14081" max="14081" width="24.59765625" customWidth="1"/>
    <col min="14082" max="14082" width="18.86328125" customWidth="1"/>
    <col min="14083" max="14083" width="12.3984375" customWidth="1"/>
    <col min="14084" max="14084" width="13.3984375" customWidth="1"/>
    <col min="14085" max="14085" width="17" customWidth="1"/>
    <col min="14337" max="14337" width="24.59765625" customWidth="1"/>
    <col min="14338" max="14338" width="18.86328125" customWidth="1"/>
    <col min="14339" max="14339" width="12.3984375" customWidth="1"/>
    <col min="14340" max="14340" width="13.3984375" customWidth="1"/>
    <col min="14341" max="14341" width="17" customWidth="1"/>
    <col min="14593" max="14593" width="24.59765625" customWidth="1"/>
    <col min="14594" max="14594" width="18.86328125" customWidth="1"/>
    <col min="14595" max="14595" width="12.3984375" customWidth="1"/>
    <col min="14596" max="14596" width="13.3984375" customWidth="1"/>
    <col min="14597" max="14597" width="17" customWidth="1"/>
    <col min="14849" max="14849" width="24.59765625" customWidth="1"/>
    <col min="14850" max="14850" width="18.86328125" customWidth="1"/>
    <col min="14851" max="14851" width="12.3984375" customWidth="1"/>
    <col min="14852" max="14852" width="13.3984375" customWidth="1"/>
    <col min="14853" max="14853" width="17" customWidth="1"/>
    <col min="15105" max="15105" width="24.59765625" customWidth="1"/>
    <col min="15106" max="15106" width="18.86328125" customWidth="1"/>
    <col min="15107" max="15107" width="12.3984375" customWidth="1"/>
    <col min="15108" max="15108" width="13.3984375" customWidth="1"/>
    <col min="15109" max="15109" width="17" customWidth="1"/>
    <col min="15361" max="15361" width="24.59765625" customWidth="1"/>
    <col min="15362" max="15362" width="18.86328125" customWidth="1"/>
    <col min="15363" max="15363" width="12.3984375" customWidth="1"/>
    <col min="15364" max="15364" width="13.3984375" customWidth="1"/>
    <col min="15365" max="15365" width="17" customWidth="1"/>
    <col min="15617" max="15617" width="24.59765625" customWidth="1"/>
    <col min="15618" max="15618" width="18.86328125" customWidth="1"/>
    <col min="15619" max="15619" width="12.3984375" customWidth="1"/>
    <col min="15620" max="15620" width="13.3984375" customWidth="1"/>
    <col min="15621" max="15621" width="17" customWidth="1"/>
    <col min="15873" max="15873" width="24.59765625" customWidth="1"/>
    <col min="15874" max="15874" width="18.86328125" customWidth="1"/>
    <col min="15875" max="15875" width="12.3984375" customWidth="1"/>
    <col min="15876" max="15876" width="13.3984375" customWidth="1"/>
    <col min="15877" max="15877" width="17" customWidth="1"/>
    <col min="16129" max="16129" width="24.59765625" customWidth="1"/>
    <col min="16130" max="16130" width="18.86328125" customWidth="1"/>
    <col min="16131" max="16131" width="12.3984375" customWidth="1"/>
    <col min="16132" max="16132" width="13.3984375" customWidth="1"/>
    <col min="16133" max="16133" width="17" customWidth="1"/>
  </cols>
  <sheetData>
    <row r="1" spans="1:10" ht="23.25" x14ac:dyDescent="0.7">
      <c r="A1" s="67" t="s">
        <v>762</v>
      </c>
      <c r="B1" s="131" t="s">
        <v>670</v>
      </c>
      <c r="C1" s="3"/>
      <c r="D1" s="3"/>
      <c r="E1" s="10"/>
      <c r="F1" s="3"/>
      <c r="G1" s="3"/>
      <c r="H1" s="3"/>
      <c r="I1" s="3"/>
      <c r="J1" s="3"/>
    </row>
    <row r="2" spans="1:10" ht="15.75" x14ac:dyDescent="0.5">
      <c r="B2" s="3"/>
      <c r="C2" s="3"/>
      <c r="D2" s="3"/>
      <c r="E2" s="10"/>
      <c r="F2" s="3"/>
      <c r="G2" s="3"/>
      <c r="H2" s="3"/>
      <c r="I2" s="3"/>
      <c r="J2" s="3"/>
    </row>
    <row r="3" spans="1:10" ht="18" x14ac:dyDescent="0.55000000000000004">
      <c r="A3" s="58" t="s">
        <v>671</v>
      </c>
      <c r="B3" s="154">
        <v>1000000</v>
      </c>
      <c r="C3" s="3"/>
      <c r="D3" s="3"/>
      <c r="E3" s="10"/>
      <c r="F3" s="3"/>
      <c r="G3" s="3"/>
      <c r="H3" s="3"/>
      <c r="I3" s="3"/>
      <c r="J3" s="3"/>
    </row>
    <row r="4" spans="1:10" ht="18" x14ac:dyDescent="0.55000000000000004">
      <c r="A4" s="58" t="s">
        <v>672</v>
      </c>
      <c r="B4" s="155">
        <v>42767</v>
      </c>
      <c r="C4" s="3"/>
      <c r="D4" s="3"/>
      <c r="E4" s="10"/>
      <c r="F4" s="3"/>
      <c r="G4" s="3"/>
      <c r="H4" s="3"/>
      <c r="I4" s="3"/>
      <c r="J4" s="3"/>
    </row>
    <row r="5" spans="1:10" ht="18" x14ac:dyDescent="0.55000000000000004">
      <c r="A5" s="58" t="s">
        <v>145</v>
      </c>
      <c r="B5" s="155">
        <v>42948</v>
      </c>
      <c r="C5" s="3"/>
      <c r="D5" s="3"/>
      <c r="E5" s="10"/>
      <c r="F5" s="3"/>
      <c r="G5" s="3"/>
      <c r="H5" s="3"/>
      <c r="I5" s="3"/>
      <c r="J5" s="3"/>
    </row>
    <row r="6" spans="1:10" ht="18" x14ac:dyDescent="0.55000000000000004">
      <c r="A6" s="58" t="s">
        <v>148</v>
      </c>
      <c r="B6" s="156">
        <v>8.5000000000000006E-3</v>
      </c>
      <c r="C6" s="3"/>
      <c r="D6" s="3"/>
      <c r="E6" s="10"/>
      <c r="F6" s="3"/>
      <c r="G6" s="3"/>
      <c r="H6" s="3"/>
      <c r="I6" s="3"/>
      <c r="J6" s="3"/>
    </row>
    <row r="7" spans="1:10" ht="18" x14ac:dyDescent="0.55000000000000004">
      <c r="A7" s="58"/>
      <c r="B7" s="131"/>
      <c r="C7" s="3"/>
      <c r="D7" s="3"/>
      <c r="E7" s="10"/>
      <c r="F7" s="3"/>
      <c r="G7" s="3"/>
      <c r="H7" s="3"/>
      <c r="I7" s="3"/>
      <c r="J7" s="3"/>
    </row>
    <row r="8" spans="1:10" ht="18" x14ac:dyDescent="0.55000000000000004">
      <c r="A8" s="58" t="s">
        <v>673</v>
      </c>
      <c r="B8" s="131">
        <f>(B5-B4)</f>
        <v>181</v>
      </c>
      <c r="C8" s="3"/>
      <c r="D8" s="3"/>
      <c r="E8" s="10"/>
      <c r="F8" s="3"/>
      <c r="G8" s="3"/>
      <c r="H8" s="3"/>
      <c r="I8" s="3"/>
      <c r="J8" s="3"/>
    </row>
    <row r="9" spans="1:10" ht="18" x14ac:dyDescent="0.55000000000000004">
      <c r="A9" s="36"/>
      <c r="B9" s="3"/>
      <c r="C9" s="3"/>
      <c r="D9" s="3"/>
      <c r="E9" s="10"/>
      <c r="F9" s="3"/>
      <c r="G9" s="3"/>
      <c r="H9" s="3"/>
      <c r="I9" s="3"/>
      <c r="J9" s="3"/>
    </row>
    <row r="10" spans="1:10" ht="18" x14ac:dyDescent="0.55000000000000004">
      <c r="A10" s="36" t="s">
        <v>674</v>
      </c>
      <c r="B10" s="3" t="s">
        <v>675</v>
      </c>
      <c r="C10" s="3"/>
      <c r="D10" s="3"/>
      <c r="E10" s="157">
        <f>(B6*B3)*(B8/360)</f>
        <v>4273.6111111111113</v>
      </c>
      <c r="F10" s="3"/>
      <c r="G10" s="3"/>
      <c r="H10" s="3"/>
      <c r="I10" s="3"/>
      <c r="J10" s="3"/>
    </row>
    <row r="11" spans="1:10" ht="18" x14ac:dyDescent="0.55000000000000004">
      <c r="A11" s="36"/>
      <c r="B11" s="158" t="s">
        <v>676</v>
      </c>
      <c r="C11" s="3"/>
      <c r="D11" s="3"/>
      <c r="E11" s="10"/>
      <c r="F11" s="3"/>
      <c r="G11" s="3"/>
      <c r="H11" s="3"/>
      <c r="I11" s="3"/>
      <c r="J11" s="3"/>
    </row>
    <row r="12" spans="1:10" ht="18" x14ac:dyDescent="0.55000000000000004">
      <c r="A12" s="36"/>
      <c r="B12" s="3"/>
      <c r="C12" s="3"/>
      <c r="D12" s="3"/>
      <c r="E12" s="10"/>
      <c r="F12" s="3"/>
      <c r="G12" s="3"/>
      <c r="H12" s="3"/>
      <c r="I12" s="3"/>
      <c r="J12" s="3"/>
    </row>
    <row r="13" spans="1:10" ht="18" x14ac:dyDescent="0.55000000000000004">
      <c r="A13" s="36" t="s">
        <v>677</v>
      </c>
      <c r="B13" s="3" t="s">
        <v>678</v>
      </c>
      <c r="C13" s="3"/>
      <c r="D13" s="3"/>
      <c r="E13" s="157">
        <f>(B3-E10)</f>
        <v>995726.38888888888</v>
      </c>
      <c r="F13" s="3"/>
      <c r="G13" s="3"/>
      <c r="H13" s="3"/>
      <c r="I13" s="3"/>
      <c r="J13" s="3"/>
    </row>
    <row r="14" spans="1:10" ht="18" x14ac:dyDescent="0.55000000000000004">
      <c r="A14" s="36"/>
      <c r="B14" s="158" t="s">
        <v>679</v>
      </c>
      <c r="C14" s="3"/>
      <c r="D14" s="3"/>
      <c r="E14" s="10"/>
      <c r="F14" s="3"/>
      <c r="G14" s="3"/>
      <c r="H14" s="3"/>
      <c r="I14" s="3"/>
      <c r="J14" s="3"/>
    </row>
    <row r="15" spans="1:10" ht="18" x14ac:dyDescent="0.55000000000000004">
      <c r="A15" s="36"/>
      <c r="B15" s="3"/>
      <c r="C15" s="3"/>
      <c r="D15" s="3"/>
      <c r="E15" s="10"/>
      <c r="F15" s="3"/>
      <c r="G15" s="3"/>
      <c r="H15" s="3"/>
      <c r="I15" s="3"/>
      <c r="J15" s="3"/>
    </row>
    <row r="16" spans="1:10" ht="18" x14ac:dyDescent="0.55000000000000004">
      <c r="A16" s="36" t="s">
        <v>680</v>
      </c>
      <c r="B16" s="3" t="s">
        <v>681</v>
      </c>
      <c r="C16" s="3"/>
      <c r="D16" s="3"/>
      <c r="E16" s="159">
        <f>(E13/B3)*100</f>
        <v>99.572638888888889</v>
      </c>
      <c r="F16" s="3"/>
      <c r="G16" s="3"/>
      <c r="H16" s="3"/>
      <c r="I16" s="3"/>
      <c r="J16" s="3"/>
    </row>
    <row r="17" spans="1:10" ht="18" x14ac:dyDescent="0.55000000000000004">
      <c r="A17" s="36"/>
      <c r="B17" s="158" t="s">
        <v>682</v>
      </c>
      <c r="C17" s="3"/>
      <c r="D17" s="3"/>
      <c r="E17" s="10"/>
      <c r="F17" s="3"/>
      <c r="G17" s="3"/>
      <c r="H17" s="3"/>
      <c r="I17" s="3"/>
      <c r="J17" s="3"/>
    </row>
    <row r="18" spans="1:10" ht="18" x14ac:dyDescent="0.55000000000000004">
      <c r="A18" s="36"/>
      <c r="B18" s="3"/>
      <c r="C18" s="3"/>
      <c r="D18" s="3"/>
      <c r="E18" s="10"/>
      <c r="F18" s="3"/>
      <c r="G18" s="3"/>
      <c r="H18" s="3"/>
      <c r="I18" s="3"/>
      <c r="J18" s="3"/>
    </row>
    <row r="19" spans="1:10" ht="18" x14ac:dyDescent="0.55000000000000004">
      <c r="A19" s="36" t="s">
        <v>683</v>
      </c>
      <c r="B19" s="3" t="s">
        <v>685</v>
      </c>
      <c r="C19" s="3"/>
      <c r="D19" s="3"/>
      <c r="E19" s="160">
        <f>((E10/B8)*365)/E13</f>
        <v>8.655043847107708E-3</v>
      </c>
      <c r="F19" s="3"/>
      <c r="G19" s="3"/>
      <c r="H19" s="3"/>
      <c r="I19" s="3"/>
      <c r="J19" s="3"/>
    </row>
    <row r="20" spans="1:10" ht="18" x14ac:dyDescent="0.55000000000000004">
      <c r="A20" s="36"/>
      <c r="B20" s="158" t="s">
        <v>1305</v>
      </c>
      <c r="C20" s="3"/>
      <c r="D20" s="3"/>
      <c r="E20" s="10"/>
      <c r="F20" s="3"/>
      <c r="G20" s="3"/>
      <c r="H20" s="3"/>
      <c r="I20" s="3"/>
      <c r="J20" s="3"/>
    </row>
    <row r="21" spans="1:10" ht="18" x14ac:dyDescent="0.55000000000000004">
      <c r="A21" s="36"/>
      <c r="B21" s="3"/>
      <c r="C21" s="3"/>
      <c r="D21" s="3"/>
      <c r="E21" s="10"/>
      <c r="F21" s="3"/>
      <c r="G21" s="3"/>
      <c r="H21" s="3"/>
      <c r="I21" s="3"/>
      <c r="J21" s="3"/>
    </row>
    <row r="22" spans="1:10" ht="18" x14ac:dyDescent="0.55000000000000004">
      <c r="A22" s="36" t="s">
        <v>684</v>
      </c>
      <c r="B22" s="3" t="s">
        <v>685</v>
      </c>
      <c r="C22" s="3"/>
      <c r="D22" s="3"/>
      <c r="E22" s="160">
        <f>((E10/B8)*365)/E13</f>
        <v>8.655043847107708E-3</v>
      </c>
      <c r="F22" s="3"/>
      <c r="G22" s="3"/>
      <c r="H22" s="3"/>
      <c r="I22" s="3"/>
      <c r="J22" s="3"/>
    </row>
    <row r="23" spans="1:10" ht="18" x14ac:dyDescent="0.55000000000000004">
      <c r="A23" s="36"/>
      <c r="B23" s="158" t="s">
        <v>686</v>
      </c>
      <c r="C23" s="3"/>
      <c r="D23" s="3"/>
      <c r="E23" s="10"/>
      <c r="F23" s="3"/>
      <c r="G23" s="3"/>
      <c r="H23" s="3"/>
      <c r="I23" s="3"/>
      <c r="J23" s="3"/>
    </row>
    <row r="24" spans="1:10" ht="18" x14ac:dyDescent="0.55000000000000004">
      <c r="A24" s="36"/>
      <c r="B24" s="158"/>
      <c r="C24" s="3"/>
      <c r="D24" s="3"/>
      <c r="E24" s="10"/>
      <c r="F24" s="3"/>
      <c r="G24" s="3"/>
      <c r="H24" s="3"/>
      <c r="I24" s="3"/>
      <c r="J24" s="3"/>
    </row>
    <row r="25" spans="1:10" ht="18" x14ac:dyDescent="0.55000000000000004">
      <c r="A25" s="36"/>
      <c r="B25" s="3"/>
      <c r="C25" s="3"/>
      <c r="D25" s="3"/>
      <c r="E25" s="10"/>
      <c r="F25" s="3"/>
      <c r="G25" s="3"/>
      <c r="H25" s="3"/>
      <c r="I25" s="3"/>
      <c r="J25" s="3"/>
    </row>
    <row r="26" spans="1:10" ht="18" x14ac:dyDescent="0.55000000000000004">
      <c r="A26" s="149" t="s">
        <v>687</v>
      </c>
      <c r="B26" s="135" t="s">
        <v>688</v>
      </c>
      <c r="C26" s="161" t="s">
        <v>689</v>
      </c>
      <c r="D26" s="3"/>
      <c r="E26" s="10"/>
      <c r="F26" s="3"/>
      <c r="G26" s="3"/>
      <c r="H26" s="3"/>
      <c r="I26" s="3"/>
      <c r="J26" s="3"/>
    </row>
    <row r="27" spans="1:10" ht="18" x14ac:dyDescent="0.55000000000000004">
      <c r="A27" s="36"/>
      <c r="B27" s="136">
        <f>PRICEDISC(B4,B5,B6,100,2)</f>
        <v>99.572638888888889</v>
      </c>
      <c r="C27" s="162" t="s">
        <v>753</v>
      </c>
      <c r="D27" s="163"/>
      <c r="E27" s="10"/>
      <c r="F27" s="3"/>
      <c r="G27" s="3"/>
      <c r="H27" s="3"/>
      <c r="I27" s="3"/>
      <c r="J27" s="3"/>
    </row>
    <row r="28" spans="1:10" ht="18" x14ac:dyDescent="0.55000000000000004">
      <c r="A28" s="36"/>
      <c r="B28" s="3"/>
      <c r="C28" s="162" t="s">
        <v>754</v>
      </c>
      <c r="D28" s="163"/>
      <c r="E28" s="10"/>
      <c r="F28" s="3"/>
      <c r="G28" s="3"/>
      <c r="H28" s="3"/>
      <c r="I28" s="3"/>
      <c r="J28" s="3"/>
    </row>
    <row r="29" spans="1:10" ht="18" x14ac:dyDescent="0.55000000000000004">
      <c r="A29" s="36"/>
      <c r="B29" s="3"/>
      <c r="C29" s="162" t="s">
        <v>755</v>
      </c>
      <c r="D29" s="163"/>
      <c r="E29" s="10"/>
      <c r="F29" s="3"/>
      <c r="G29" s="3"/>
      <c r="H29" s="3"/>
      <c r="I29" s="3"/>
      <c r="J29" s="3"/>
    </row>
    <row r="30" spans="1:10" ht="18" x14ac:dyDescent="0.55000000000000004">
      <c r="A30" s="36"/>
      <c r="B30" s="3"/>
      <c r="C30" s="162" t="s">
        <v>756</v>
      </c>
      <c r="D30" s="163"/>
      <c r="E30" s="10"/>
      <c r="F30" s="3"/>
      <c r="G30" s="3"/>
      <c r="H30" s="3"/>
      <c r="I30" s="3"/>
      <c r="J30" s="3"/>
    </row>
    <row r="31" spans="1:10" ht="18" x14ac:dyDescent="0.55000000000000004">
      <c r="A31" s="36"/>
      <c r="B31" s="3"/>
      <c r="C31" s="162" t="s">
        <v>757</v>
      </c>
      <c r="D31" s="163"/>
      <c r="E31" s="10"/>
      <c r="F31" s="3"/>
      <c r="G31" s="3"/>
      <c r="H31" s="3"/>
      <c r="I31" s="3"/>
      <c r="J31" s="3"/>
    </row>
    <row r="32" spans="1:10" ht="18" x14ac:dyDescent="0.55000000000000004">
      <c r="A32" s="36"/>
      <c r="B32" s="3"/>
      <c r="C32" s="164"/>
      <c r="D32" s="163"/>
      <c r="E32" s="10"/>
      <c r="F32" s="3"/>
      <c r="G32" s="3"/>
      <c r="H32" s="3"/>
      <c r="I32" s="3"/>
      <c r="J32" s="3"/>
    </row>
    <row r="33" spans="1:10" ht="31.9" x14ac:dyDescent="0.55000000000000004">
      <c r="A33" s="36"/>
      <c r="B33" s="3"/>
      <c r="C33" s="165" t="s">
        <v>690</v>
      </c>
      <c r="D33" s="165" t="s">
        <v>691</v>
      </c>
      <c r="E33" s="10"/>
      <c r="F33" s="3"/>
      <c r="G33" s="3"/>
      <c r="H33" s="3"/>
      <c r="I33" s="3"/>
      <c r="J33" s="3"/>
    </row>
    <row r="34" spans="1:10" ht="31.5" x14ac:dyDescent="0.55000000000000004">
      <c r="A34" s="36"/>
      <c r="B34" s="3"/>
      <c r="C34" s="166" t="s">
        <v>692</v>
      </c>
      <c r="D34" s="166" t="s">
        <v>127</v>
      </c>
      <c r="E34" s="10"/>
      <c r="F34" s="3"/>
      <c r="G34" s="3"/>
      <c r="H34" s="3"/>
      <c r="I34" s="3"/>
      <c r="J34" s="3"/>
    </row>
    <row r="35" spans="1:10" ht="31.5" x14ac:dyDescent="0.55000000000000004">
      <c r="A35" s="36"/>
      <c r="B35" s="3"/>
      <c r="C35" s="167">
        <v>1</v>
      </c>
      <c r="D35" s="167" t="s">
        <v>693</v>
      </c>
      <c r="E35" s="10"/>
      <c r="F35" s="3"/>
      <c r="G35" s="3"/>
      <c r="H35" s="3"/>
      <c r="I35" s="3"/>
      <c r="J35" s="3"/>
    </row>
    <row r="36" spans="1:10" ht="18" x14ac:dyDescent="0.55000000000000004">
      <c r="A36" s="36"/>
      <c r="B36" s="3"/>
      <c r="C36" s="168">
        <v>2</v>
      </c>
      <c r="D36" s="168" t="s">
        <v>694</v>
      </c>
      <c r="E36" s="10"/>
      <c r="F36" s="3"/>
      <c r="G36" s="3"/>
      <c r="H36" s="3"/>
      <c r="I36" s="3"/>
      <c r="J36" s="3"/>
    </row>
    <row r="37" spans="1:10" ht="18" x14ac:dyDescent="0.55000000000000004">
      <c r="A37" s="36"/>
      <c r="B37" s="3"/>
      <c r="C37" s="167">
        <v>3</v>
      </c>
      <c r="D37" s="167" t="s">
        <v>695</v>
      </c>
      <c r="E37" s="10"/>
      <c r="F37" s="3"/>
      <c r="G37" s="3"/>
      <c r="H37" s="3"/>
      <c r="I37" s="3"/>
      <c r="J37" s="3"/>
    </row>
    <row r="38" spans="1:10" ht="31.5" x14ac:dyDescent="0.55000000000000004">
      <c r="A38" s="36"/>
      <c r="B38" s="3"/>
      <c r="C38" s="166">
        <v>4</v>
      </c>
      <c r="D38" s="166" t="s">
        <v>131</v>
      </c>
      <c r="E38" s="10"/>
      <c r="F38" s="3"/>
      <c r="G38" s="3"/>
      <c r="H38" s="3"/>
      <c r="I38" s="3"/>
      <c r="J38" s="3"/>
    </row>
    <row r="39" spans="1:10" ht="18" x14ac:dyDescent="0.55000000000000004">
      <c r="A39" s="36"/>
      <c r="B39" s="3"/>
      <c r="C39" s="3"/>
      <c r="D39" s="3"/>
      <c r="E39" s="10"/>
      <c r="F39" s="3"/>
      <c r="G39" s="3"/>
      <c r="H39" s="3"/>
      <c r="I39" s="3"/>
      <c r="J39" s="3"/>
    </row>
    <row r="40" spans="1:10" ht="18" x14ac:dyDescent="0.55000000000000004">
      <c r="A40" s="36"/>
      <c r="B40" s="135" t="s">
        <v>696</v>
      </c>
      <c r="C40" s="161" t="s">
        <v>697</v>
      </c>
      <c r="D40" s="3"/>
      <c r="E40" s="10"/>
      <c r="F40" s="3"/>
      <c r="G40" s="3"/>
      <c r="H40" s="3"/>
      <c r="I40" s="3"/>
      <c r="J40" s="3"/>
    </row>
    <row r="41" spans="1:10" ht="18" x14ac:dyDescent="0.55000000000000004">
      <c r="A41" s="36"/>
      <c r="B41" s="137">
        <f>TBILLEQ(B4,B5,B6)</f>
        <v>8.6550438471077098E-3</v>
      </c>
      <c r="C41" s="162" t="s">
        <v>753</v>
      </c>
      <c r="D41" s="3"/>
      <c r="E41" s="10"/>
      <c r="F41" s="3"/>
      <c r="G41" s="3"/>
      <c r="H41" s="3"/>
      <c r="I41" s="3"/>
      <c r="J41" s="3"/>
    </row>
    <row r="42" spans="1:10" ht="18" x14ac:dyDescent="0.55000000000000004">
      <c r="A42" s="36"/>
      <c r="B42" s="3"/>
      <c r="C42" s="162" t="s">
        <v>754</v>
      </c>
      <c r="D42" s="3"/>
      <c r="E42" s="10"/>
      <c r="F42" s="3"/>
      <c r="G42" s="3"/>
      <c r="H42" s="3"/>
      <c r="I42" s="3"/>
      <c r="J42" s="3"/>
    </row>
    <row r="43" spans="1:10" ht="18" x14ac:dyDescent="0.55000000000000004">
      <c r="A43" s="36"/>
      <c r="B43" s="3"/>
      <c r="C43" s="162" t="s">
        <v>755</v>
      </c>
      <c r="D43" s="3"/>
      <c r="E43" s="10"/>
      <c r="F43" s="3"/>
      <c r="G43" s="3"/>
      <c r="H43" s="3"/>
      <c r="I43" s="3"/>
      <c r="J43" s="3"/>
    </row>
    <row r="44" spans="1:10" ht="18" x14ac:dyDescent="0.55000000000000004">
      <c r="A44" s="36"/>
      <c r="B44" s="3"/>
      <c r="C44" s="3"/>
      <c r="D44" s="3"/>
      <c r="E44" s="10"/>
      <c r="F44" s="3"/>
      <c r="G44" s="3"/>
      <c r="H44" s="3"/>
      <c r="I44" s="3"/>
      <c r="J44" s="3"/>
    </row>
    <row r="45" spans="1:10" ht="18" x14ac:dyDescent="0.55000000000000004">
      <c r="A45" s="36"/>
      <c r="B45" s="3"/>
      <c r="C45" s="3"/>
      <c r="D45" s="3"/>
      <c r="E45" s="10"/>
      <c r="F45" s="3"/>
      <c r="G45" s="3"/>
      <c r="H45" s="3"/>
      <c r="I45" s="3"/>
      <c r="J45" s="3"/>
    </row>
    <row r="46" spans="1:10" ht="18" x14ac:dyDescent="0.55000000000000004">
      <c r="A46" s="150" t="s">
        <v>698</v>
      </c>
      <c r="B46" s="3"/>
      <c r="C46" s="3"/>
      <c r="D46" s="3"/>
      <c r="E46" s="10"/>
      <c r="F46" s="3"/>
      <c r="G46" s="3"/>
      <c r="H46" s="3"/>
      <c r="I46" s="3"/>
      <c r="J46" s="3"/>
    </row>
    <row r="47" spans="1:10" ht="18" x14ac:dyDescent="0.55000000000000004">
      <c r="A47" s="36" t="s">
        <v>699</v>
      </c>
      <c r="B47" s="3"/>
      <c r="C47" s="154">
        <f>((B48*B49)/360)*B52</f>
        <v>15533.333333333336</v>
      </c>
      <c r="D47" s="3"/>
      <c r="E47" s="10"/>
      <c r="F47" s="3"/>
      <c r="G47" s="3"/>
      <c r="H47" s="3"/>
      <c r="I47" s="3"/>
      <c r="J47" s="3"/>
    </row>
    <row r="48" spans="1:10" ht="18" x14ac:dyDescent="0.55000000000000004">
      <c r="A48" s="151" t="s">
        <v>700</v>
      </c>
      <c r="B48" s="10">
        <v>1000000</v>
      </c>
      <c r="C48" s="3"/>
      <c r="D48" s="3"/>
      <c r="E48" s="10"/>
      <c r="F48" s="3"/>
      <c r="G48" s="3"/>
      <c r="H48" s="3"/>
      <c r="I48" s="3"/>
      <c r="J48" s="3"/>
    </row>
    <row r="49" spans="1:10" ht="18" x14ac:dyDescent="0.55000000000000004">
      <c r="A49" s="151" t="s">
        <v>204</v>
      </c>
      <c r="B49" s="9">
        <v>4.6600000000000003E-2</v>
      </c>
      <c r="C49" s="3"/>
      <c r="D49" s="3"/>
      <c r="E49" s="10"/>
      <c r="F49" s="3"/>
      <c r="G49" s="3"/>
      <c r="H49" s="3"/>
      <c r="I49" s="3"/>
      <c r="J49" s="3"/>
    </row>
    <row r="50" spans="1:10" ht="18" x14ac:dyDescent="0.55000000000000004">
      <c r="A50" s="151" t="s">
        <v>701</v>
      </c>
      <c r="B50" s="169">
        <v>42736</v>
      </c>
      <c r="C50" s="3"/>
      <c r="D50" s="3"/>
      <c r="E50" s="10"/>
      <c r="F50" s="3"/>
      <c r="G50" s="3"/>
      <c r="H50" s="3"/>
      <c r="I50" s="3"/>
      <c r="J50" s="3"/>
    </row>
    <row r="51" spans="1:10" ht="18" x14ac:dyDescent="0.55000000000000004">
      <c r="A51" s="151" t="s">
        <v>702</v>
      </c>
      <c r="B51" s="169">
        <v>42856</v>
      </c>
      <c r="C51" s="3"/>
      <c r="D51" s="3"/>
      <c r="E51" s="10"/>
      <c r="F51" s="3"/>
      <c r="G51" s="3"/>
      <c r="H51" s="3"/>
      <c r="I51" s="3"/>
      <c r="J51" s="3"/>
    </row>
    <row r="52" spans="1:10" ht="18" x14ac:dyDescent="0.55000000000000004">
      <c r="A52" s="151" t="s">
        <v>703</v>
      </c>
      <c r="B52" s="3">
        <f>(B51-B50)</f>
        <v>120</v>
      </c>
      <c r="C52" s="3"/>
      <c r="D52" s="3"/>
      <c r="E52" s="10"/>
      <c r="F52" s="3"/>
      <c r="G52" s="3"/>
      <c r="H52" s="3"/>
      <c r="I52" s="3"/>
      <c r="J52" s="3"/>
    </row>
    <row r="53" spans="1:10" ht="18" x14ac:dyDescent="0.55000000000000004">
      <c r="A53" s="36"/>
      <c r="B53" s="3"/>
      <c r="C53" s="3"/>
      <c r="D53" s="3"/>
      <c r="E53" s="10"/>
      <c r="F53" s="3"/>
      <c r="G53" s="3"/>
      <c r="H53" s="3"/>
      <c r="I53" s="3"/>
      <c r="J53" s="3"/>
    </row>
    <row r="54" spans="1:10" ht="18" x14ac:dyDescent="0.55000000000000004">
      <c r="A54" s="152" t="s">
        <v>704</v>
      </c>
      <c r="B54" s="3"/>
      <c r="C54" s="131">
        <f>(1-((B57*337)/360))*100</f>
        <v>95.637722222222223</v>
      </c>
      <c r="D54" s="3"/>
      <c r="E54" s="10"/>
      <c r="F54" s="3"/>
      <c r="G54" s="3"/>
      <c r="H54" s="3"/>
      <c r="I54" s="3"/>
      <c r="J54" s="3"/>
    </row>
    <row r="55" spans="1:10" ht="18" x14ac:dyDescent="0.55000000000000004">
      <c r="A55" s="153" t="s">
        <v>705</v>
      </c>
      <c r="B55" s="3"/>
      <c r="C55" s="170"/>
      <c r="D55" s="3"/>
      <c r="E55" s="10"/>
      <c r="F55" s="3"/>
      <c r="G55" s="3"/>
      <c r="H55" s="3"/>
      <c r="I55" s="3"/>
      <c r="J55" s="3"/>
    </row>
    <row r="56" spans="1:10" ht="18" x14ac:dyDescent="0.55000000000000004">
      <c r="A56" s="151" t="s">
        <v>700</v>
      </c>
      <c r="B56" s="10">
        <v>1000000</v>
      </c>
      <c r="C56" s="3"/>
      <c r="D56" s="3"/>
      <c r="E56" s="10"/>
      <c r="F56" s="3"/>
      <c r="G56" s="3"/>
      <c r="H56" s="3"/>
      <c r="I56" s="3"/>
      <c r="J56" s="3"/>
    </row>
    <row r="57" spans="1:10" ht="18" x14ac:dyDescent="0.55000000000000004">
      <c r="A57" s="151" t="s">
        <v>204</v>
      </c>
      <c r="B57" s="9">
        <v>4.6600000000000003E-2</v>
      </c>
      <c r="C57" s="3"/>
      <c r="D57" s="3"/>
      <c r="E57" s="10"/>
      <c r="F57" s="3"/>
      <c r="G57" s="3"/>
      <c r="H57" s="3"/>
      <c r="I57" s="3"/>
      <c r="J57" s="3"/>
    </row>
    <row r="58" spans="1:10" ht="18" x14ac:dyDescent="0.55000000000000004">
      <c r="A58" s="151" t="s">
        <v>701</v>
      </c>
      <c r="B58" s="169">
        <v>42736</v>
      </c>
      <c r="C58" s="3"/>
      <c r="D58" s="3"/>
      <c r="E58" s="10"/>
      <c r="F58" s="3"/>
      <c r="G58" s="3"/>
      <c r="H58" s="3"/>
      <c r="I58" s="3"/>
      <c r="J58" s="3"/>
    </row>
    <row r="59" spans="1:10" ht="18" x14ac:dyDescent="0.55000000000000004">
      <c r="A59" s="151" t="s">
        <v>702</v>
      </c>
      <c r="B59" s="169">
        <v>42856</v>
      </c>
      <c r="C59" s="3"/>
      <c r="D59" s="3"/>
      <c r="E59" s="10"/>
      <c r="F59" s="3"/>
      <c r="G59" s="3"/>
      <c r="H59" s="3"/>
      <c r="I59" s="3"/>
      <c r="J59" s="3"/>
    </row>
    <row r="60" spans="1:10" ht="18" x14ac:dyDescent="0.55000000000000004">
      <c r="A60" s="151" t="s">
        <v>703</v>
      </c>
      <c r="B60" s="3">
        <f>(B59-B58)</f>
        <v>120</v>
      </c>
      <c r="C60" s="3"/>
      <c r="D60" s="3"/>
      <c r="E60" s="10"/>
      <c r="F60" s="3"/>
      <c r="G60" s="3"/>
      <c r="H60" s="3"/>
      <c r="I60" s="3"/>
      <c r="J60" s="3"/>
    </row>
    <row r="61" spans="1:10" ht="18" x14ac:dyDescent="0.55000000000000004">
      <c r="A61" s="36"/>
      <c r="B61" s="3"/>
      <c r="C61" s="3"/>
      <c r="D61" s="3"/>
      <c r="E61" s="10"/>
      <c r="F61" s="3"/>
      <c r="G61" s="3"/>
      <c r="H61" s="3"/>
      <c r="I61" s="3"/>
      <c r="J61" s="3"/>
    </row>
    <row r="62" spans="1:10" ht="18" x14ac:dyDescent="0.55000000000000004">
      <c r="A62" s="152" t="s">
        <v>706</v>
      </c>
      <c r="B62" s="3"/>
      <c r="C62" s="3"/>
      <c r="D62" s="3"/>
      <c r="E62" s="10"/>
      <c r="F62" s="3"/>
      <c r="G62" s="3"/>
      <c r="H62" s="3"/>
      <c r="I62" s="3"/>
      <c r="J62" s="3"/>
    </row>
    <row r="63" spans="1:10" ht="18" x14ac:dyDescent="0.55000000000000004">
      <c r="A63" s="153" t="s">
        <v>707</v>
      </c>
      <c r="B63" s="3"/>
      <c r="C63" s="154">
        <f>(B56-C47)</f>
        <v>984466.66666666663</v>
      </c>
      <c r="D63" s="3"/>
      <c r="E63" s="10"/>
      <c r="F63" s="3"/>
      <c r="G63" s="3"/>
      <c r="H63" s="3"/>
      <c r="I63" s="3"/>
      <c r="J63" s="3"/>
    </row>
    <row r="64" spans="1:10" ht="15.75" x14ac:dyDescent="0.5">
      <c r="B64" s="3"/>
      <c r="C64" s="3"/>
      <c r="D64" s="3"/>
      <c r="E64" s="10"/>
      <c r="F64" s="3"/>
      <c r="G64" s="3"/>
      <c r="H64" s="3"/>
      <c r="I64" s="3"/>
      <c r="J64" s="3"/>
    </row>
    <row r="65" spans="2:10" ht="15.75" x14ac:dyDescent="0.5">
      <c r="B65" s="3"/>
      <c r="C65" s="3"/>
      <c r="D65" s="3"/>
      <c r="E65" s="10"/>
      <c r="F65" s="3"/>
      <c r="G65" s="3"/>
      <c r="H65" s="3"/>
      <c r="I65" s="3"/>
      <c r="J65" s="3"/>
    </row>
    <row r="66" spans="2:10" ht="15.75" x14ac:dyDescent="0.5">
      <c r="B66" s="3"/>
      <c r="C66" s="3"/>
      <c r="D66" s="3"/>
      <c r="E66" s="10"/>
      <c r="F66" s="3"/>
      <c r="G66" s="3"/>
      <c r="H66" s="3"/>
      <c r="I66" s="3"/>
      <c r="J66" s="3"/>
    </row>
  </sheetData>
  <pageMargins left="0.7" right="0.7" top="0.75" bottom="0.75" header="0.3" footer="0.3"/>
  <pageSetup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theme="4" tint="0.79998168889431442"/>
  </sheetPr>
  <dimension ref="A1:H87"/>
  <sheetViews>
    <sheetView workbookViewId="0">
      <selection activeCell="B13" sqref="B13"/>
    </sheetView>
  </sheetViews>
  <sheetFormatPr defaultRowHeight="14.25" x14ac:dyDescent="0.45"/>
  <cols>
    <col min="1" max="1" width="36" customWidth="1"/>
    <col min="2" max="2" width="21.73046875" customWidth="1"/>
    <col min="3" max="3" width="19.86328125" customWidth="1"/>
    <col min="4" max="4" width="15.1328125" customWidth="1"/>
    <col min="257" max="257" width="24" customWidth="1"/>
    <col min="258" max="258" width="21.73046875" customWidth="1"/>
    <col min="259" max="259" width="19.86328125" customWidth="1"/>
    <col min="260" max="260" width="15.1328125" customWidth="1"/>
    <col min="513" max="513" width="24" customWidth="1"/>
    <col min="514" max="514" width="21.73046875" customWidth="1"/>
    <col min="515" max="515" width="19.86328125" customWidth="1"/>
    <col min="516" max="516" width="15.1328125" customWidth="1"/>
    <col min="769" max="769" width="24" customWidth="1"/>
    <col min="770" max="770" width="21.73046875" customWidth="1"/>
    <col min="771" max="771" width="19.86328125" customWidth="1"/>
    <col min="772" max="772" width="15.1328125" customWidth="1"/>
    <col min="1025" max="1025" width="24" customWidth="1"/>
    <col min="1026" max="1026" width="21.73046875" customWidth="1"/>
    <col min="1027" max="1027" width="19.86328125" customWidth="1"/>
    <col min="1028" max="1028" width="15.1328125" customWidth="1"/>
    <col min="1281" max="1281" width="24" customWidth="1"/>
    <col min="1282" max="1282" width="21.73046875" customWidth="1"/>
    <col min="1283" max="1283" width="19.86328125" customWidth="1"/>
    <col min="1284" max="1284" width="15.1328125" customWidth="1"/>
    <col min="1537" max="1537" width="24" customWidth="1"/>
    <col min="1538" max="1538" width="21.73046875" customWidth="1"/>
    <col min="1539" max="1539" width="19.86328125" customWidth="1"/>
    <col min="1540" max="1540" width="15.1328125" customWidth="1"/>
    <col min="1793" max="1793" width="24" customWidth="1"/>
    <col min="1794" max="1794" width="21.73046875" customWidth="1"/>
    <col min="1795" max="1795" width="19.86328125" customWidth="1"/>
    <col min="1796" max="1796" width="15.1328125" customWidth="1"/>
    <col min="2049" max="2049" width="24" customWidth="1"/>
    <col min="2050" max="2050" width="21.73046875" customWidth="1"/>
    <col min="2051" max="2051" width="19.86328125" customWidth="1"/>
    <col min="2052" max="2052" width="15.1328125" customWidth="1"/>
    <col min="2305" max="2305" width="24" customWidth="1"/>
    <col min="2306" max="2306" width="21.73046875" customWidth="1"/>
    <col min="2307" max="2307" width="19.86328125" customWidth="1"/>
    <col min="2308" max="2308" width="15.1328125" customWidth="1"/>
    <col min="2561" max="2561" width="24" customWidth="1"/>
    <col min="2562" max="2562" width="21.73046875" customWidth="1"/>
    <col min="2563" max="2563" width="19.86328125" customWidth="1"/>
    <col min="2564" max="2564" width="15.1328125" customWidth="1"/>
    <col min="2817" max="2817" width="24" customWidth="1"/>
    <col min="2818" max="2818" width="21.73046875" customWidth="1"/>
    <col min="2819" max="2819" width="19.86328125" customWidth="1"/>
    <col min="2820" max="2820" width="15.1328125" customWidth="1"/>
    <col min="3073" max="3073" width="24" customWidth="1"/>
    <col min="3074" max="3074" width="21.73046875" customWidth="1"/>
    <col min="3075" max="3075" width="19.86328125" customWidth="1"/>
    <col min="3076" max="3076" width="15.1328125" customWidth="1"/>
    <col min="3329" max="3329" width="24" customWidth="1"/>
    <col min="3330" max="3330" width="21.73046875" customWidth="1"/>
    <col min="3331" max="3331" width="19.86328125" customWidth="1"/>
    <col min="3332" max="3332" width="15.1328125" customWidth="1"/>
    <col min="3585" max="3585" width="24" customWidth="1"/>
    <col min="3586" max="3586" width="21.73046875" customWidth="1"/>
    <col min="3587" max="3587" width="19.86328125" customWidth="1"/>
    <col min="3588" max="3588" width="15.1328125" customWidth="1"/>
    <col min="3841" max="3841" width="24" customWidth="1"/>
    <col min="3842" max="3842" width="21.73046875" customWidth="1"/>
    <col min="3843" max="3843" width="19.86328125" customWidth="1"/>
    <col min="3844" max="3844" width="15.1328125" customWidth="1"/>
    <col min="4097" max="4097" width="24" customWidth="1"/>
    <col min="4098" max="4098" width="21.73046875" customWidth="1"/>
    <col min="4099" max="4099" width="19.86328125" customWidth="1"/>
    <col min="4100" max="4100" width="15.1328125" customWidth="1"/>
    <col min="4353" max="4353" width="24" customWidth="1"/>
    <col min="4354" max="4354" width="21.73046875" customWidth="1"/>
    <col min="4355" max="4355" width="19.86328125" customWidth="1"/>
    <col min="4356" max="4356" width="15.1328125" customWidth="1"/>
    <col min="4609" max="4609" width="24" customWidth="1"/>
    <col min="4610" max="4610" width="21.73046875" customWidth="1"/>
    <col min="4611" max="4611" width="19.86328125" customWidth="1"/>
    <col min="4612" max="4612" width="15.1328125" customWidth="1"/>
    <col min="4865" max="4865" width="24" customWidth="1"/>
    <col min="4866" max="4866" width="21.73046875" customWidth="1"/>
    <col min="4867" max="4867" width="19.86328125" customWidth="1"/>
    <col min="4868" max="4868" width="15.1328125" customWidth="1"/>
    <col min="5121" max="5121" width="24" customWidth="1"/>
    <col min="5122" max="5122" width="21.73046875" customWidth="1"/>
    <col min="5123" max="5123" width="19.86328125" customWidth="1"/>
    <col min="5124" max="5124" width="15.1328125" customWidth="1"/>
    <col min="5377" max="5377" width="24" customWidth="1"/>
    <col min="5378" max="5378" width="21.73046875" customWidth="1"/>
    <col min="5379" max="5379" width="19.86328125" customWidth="1"/>
    <col min="5380" max="5380" width="15.1328125" customWidth="1"/>
    <col min="5633" max="5633" width="24" customWidth="1"/>
    <col min="5634" max="5634" width="21.73046875" customWidth="1"/>
    <col min="5635" max="5635" width="19.86328125" customWidth="1"/>
    <col min="5636" max="5636" width="15.1328125" customWidth="1"/>
    <col min="5889" max="5889" width="24" customWidth="1"/>
    <col min="5890" max="5890" width="21.73046875" customWidth="1"/>
    <col min="5891" max="5891" width="19.86328125" customWidth="1"/>
    <col min="5892" max="5892" width="15.1328125" customWidth="1"/>
    <col min="6145" max="6145" width="24" customWidth="1"/>
    <col min="6146" max="6146" width="21.73046875" customWidth="1"/>
    <col min="6147" max="6147" width="19.86328125" customWidth="1"/>
    <col min="6148" max="6148" width="15.1328125" customWidth="1"/>
    <col min="6401" max="6401" width="24" customWidth="1"/>
    <col min="6402" max="6402" width="21.73046875" customWidth="1"/>
    <col min="6403" max="6403" width="19.86328125" customWidth="1"/>
    <col min="6404" max="6404" width="15.1328125" customWidth="1"/>
    <col min="6657" max="6657" width="24" customWidth="1"/>
    <col min="6658" max="6658" width="21.73046875" customWidth="1"/>
    <col min="6659" max="6659" width="19.86328125" customWidth="1"/>
    <col min="6660" max="6660" width="15.1328125" customWidth="1"/>
    <col min="6913" max="6913" width="24" customWidth="1"/>
    <col min="6914" max="6914" width="21.73046875" customWidth="1"/>
    <col min="6915" max="6915" width="19.86328125" customWidth="1"/>
    <col min="6916" max="6916" width="15.1328125" customWidth="1"/>
    <col min="7169" max="7169" width="24" customWidth="1"/>
    <col min="7170" max="7170" width="21.73046875" customWidth="1"/>
    <col min="7171" max="7171" width="19.86328125" customWidth="1"/>
    <col min="7172" max="7172" width="15.1328125" customWidth="1"/>
    <col min="7425" max="7425" width="24" customWidth="1"/>
    <col min="7426" max="7426" width="21.73046875" customWidth="1"/>
    <col min="7427" max="7427" width="19.86328125" customWidth="1"/>
    <col min="7428" max="7428" width="15.1328125" customWidth="1"/>
    <col min="7681" max="7681" width="24" customWidth="1"/>
    <col min="7682" max="7682" width="21.73046875" customWidth="1"/>
    <col min="7683" max="7683" width="19.86328125" customWidth="1"/>
    <col min="7684" max="7684" width="15.1328125" customWidth="1"/>
    <col min="7937" max="7937" width="24" customWidth="1"/>
    <col min="7938" max="7938" width="21.73046875" customWidth="1"/>
    <col min="7939" max="7939" width="19.86328125" customWidth="1"/>
    <col min="7940" max="7940" width="15.1328125" customWidth="1"/>
    <col min="8193" max="8193" width="24" customWidth="1"/>
    <col min="8194" max="8194" width="21.73046875" customWidth="1"/>
    <col min="8195" max="8195" width="19.86328125" customWidth="1"/>
    <col min="8196" max="8196" width="15.1328125" customWidth="1"/>
    <col min="8449" max="8449" width="24" customWidth="1"/>
    <col min="8450" max="8450" width="21.73046875" customWidth="1"/>
    <col min="8451" max="8451" width="19.86328125" customWidth="1"/>
    <col min="8452" max="8452" width="15.1328125" customWidth="1"/>
    <col min="8705" max="8705" width="24" customWidth="1"/>
    <col min="8706" max="8706" width="21.73046875" customWidth="1"/>
    <col min="8707" max="8707" width="19.86328125" customWidth="1"/>
    <col min="8708" max="8708" width="15.1328125" customWidth="1"/>
    <col min="8961" max="8961" width="24" customWidth="1"/>
    <col min="8962" max="8962" width="21.73046875" customWidth="1"/>
    <col min="8963" max="8963" width="19.86328125" customWidth="1"/>
    <col min="8964" max="8964" width="15.1328125" customWidth="1"/>
    <col min="9217" max="9217" width="24" customWidth="1"/>
    <col min="9218" max="9218" width="21.73046875" customWidth="1"/>
    <col min="9219" max="9219" width="19.86328125" customWidth="1"/>
    <col min="9220" max="9220" width="15.1328125" customWidth="1"/>
    <col min="9473" max="9473" width="24" customWidth="1"/>
    <col min="9474" max="9474" width="21.73046875" customWidth="1"/>
    <col min="9475" max="9475" width="19.86328125" customWidth="1"/>
    <col min="9476" max="9476" width="15.1328125" customWidth="1"/>
    <col min="9729" max="9729" width="24" customWidth="1"/>
    <col min="9730" max="9730" width="21.73046875" customWidth="1"/>
    <col min="9731" max="9731" width="19.86328125" customWidth="1"/>
    <col min="9732" max="9732" width="15.1328125" customWidth="1"/>
    <col min="9985" max="9985" width="24" customWidth="1"/>
    <col min="9986" max="9986" width="21.73046875" customWidth="1"/>
    <col min="9987" max="9987" width="19.86328125" customWidth="1"/>
    <col min="9988" max="9988" width="15.1328125" customWidth="1"/>
    <col min="10241" max="10241" width="24" customWidth="1"/>
    <col min="10242" max="10242" width="21.73046875" customWidth="1"/>
    <col min="10243" max="10243" width="19.86328125" customWidth="1"/>
    <col min="10244" max="10244" width="15.1328125" customWidth="1"/>
    <col min="10497" max="10497" width="24" customWidth="1"/>
    <col min="10498" max="10498" width="21.73046875" customWidth="1"/>
    <col min="10499" max="10499" width="19.86328125" customWidth="1"/>
    <col min="10500" max="10500" width="15.1328125" customWidth="1"/>
    <col min="10753" max="10753" width="24" customWidth="1"/>
    <col min="10754" max="10754" width="21.73046875" customWidth="1"/>
    <col min="10755" max="10755" width="19.86328125" customWidth="1"/>
    <col min="10756" max="10756" width="15.1328125" customWidth="1"/>
    <col min="11009" max="11009" width="24" customWidth="1"/>
    <col min="11010" max="11010" width="21.73046875" customWidth="1"/>
    <col min="11011" max="11011" width="19.86328125" customWidth="1"/>
    <col min="11012" max="11012" width="15.1328125" customWidth="1"/>
    <col min="11265" max="11265" width="24" customWidth="1"/>
    <col min="11266" max="11266" width="21.73046875" customWidth="1"/>
    <col min="11267" max="11267" width="19.86328125" customWidth="1"/>
    <col min="11268" max="11268" width="15.1328125" customWidth="1"/>
    <col min="11521" max="11521" width="24" customWidth="1"/>
    <col min="11522" max="11522" width="21.73046875" customWidth="1"/>
    <col min="11523" max="11523" width="19.86328125" customWidth="1"/>
    <col min="11524" max="11524" width="15.1328125" customWidth="1"/>
    <col min="11777" max="11777" width="24" customWidth="1"/>
    <col min="11778" max="11778" width="21.73046875" customWidth="1"/>
    <col min="11779" max="11779" width="19.86328125" customWidth="1"/>
    <col min="11780" max="11780" width="15.1328125" customWidth="1"/>
    <col min="12033" max="12033" width="24" customWidth="1"/>
    <col min="12034" max="12034" width="21.73046875" customWidth="1"/>
    <col min="12035" max="12035" width="19.86328125" customWidth="1"/>
    <col min="12036" max="12036" width="15.1328125" customWidth="1"/>
    <col min="12289" max="12289" width="24" customWidth="1"/>
    <col min="12290" max="12290" width="21.73046875" customWidth="1"/>
    <col min="12291" max="12291" width="19.86328125" customWidth="1"/>
    <col min="12292" max="12292" width="15.1328125" customWidth="1"/>
    <col min="12545" max="12545" width="24" customWidth="1"/>
    <col min="12546" max="12546" width="21.73046875" customWidth="1"/>
    <col min="12547" max="12547" width="19.86328125" customWidth="1"/>
    <col min="12548" max="12548" width="15.1328125" customWidth="1"/>
    <col min="12801" max="12801" width="24" customWidth="1"/>
    <col min="12802" max="12802" width="21.73046875" customWidth="1"/>
    <col min="12803" max="12803" width="19.86328125" customWidth="1"/>
    <col min="12804" max="12804" width="15.1328125" customWidth="1"/>
    <col min="13057" max="13057" width="24" customWidth="1"/>
    <col min="13058" max="13058" width="21.73046875" customWidth="1"/>
    <col min="13059" max="13059" width="19.86328125" customWidth="1"/>
    <col min="13060" max="13060" width="15.1328125" customWidth="1"/>
    <col min="13313" max="13313" width="24" customWidth="1"/>
    <col min="13314" max="13314" width="21.73046875" customWidth="1"/>
    <col min="13315" max="13315" width="19.86328125" customWidth="1"/>
    <col min="13316" max="13316" width="15.1328125" customWidth="1"/>
    <col min="13569" max="13569" width="24" customWidth="1"/>
    <col min="13570" max="13570" width="21.73046875" customWidth="1"/>
    <col min="13571" max="13571" width="19.86328125" customWidth="1"/>
    <col min="13572" max="13572" width="15.1328125" customWidth="1"/>
    <col min="13825" max="13825" width="24" customWidth="1"/>
    <col min="13826" max="13826" width="21.73046875" customWidth="1"/>
    <col min="13827" max="13827" width="19.86328125" customWidth="1"/>
    <col min="13828" max="13828" width="15.1328125" customWidth="1"/>
    <col min="14081" max="14081" width="24" customWidth="1"/>
    <col min="14082" max="14082" width="21.73046875" customWidth="1"/>
    <col min="14083" max="14083" width="19.86328125" customWidth="1"/>
    <col min="14084" max="14084" width="15.1328125" customWidth="1"/>
    <col min="14337" max="14337" width="24" customWidth="1"/>
    <col min="14338" max="14338" width="21.73046875" customWidth="1"/>
    <col min="14339" max="14339" width="19.86328125" customWidth="1"/>
    <col min="14340" max="14340" width="15.1328125" customWidth="1"/>
    <col min="14593" max="14593" width="24" customWidth="1"/>
    <col min="14594" max="14594" width="21.73046875" customWidth="1"/>
    <col min="14595" max="14595" width="19.86328125" customWidth="1"/>
    <col min="14596" max="14596" width="15.1328125" customWidth="1"/>
    <col min="14849" max="14849" width="24" customWidth="1"/>
    <col min="14850" max="14850" width="21.73046875" customWidth="1"/>
    <col min="14851" max="14851" width="19.86328125" customWidth="1"/>
    <col min="14852" max="14852" width="15.1328125" customWidth="1"/>
    <col min="15105" max="15105" width="24" customWidth="1"/>
    <col min="15106" max="15106" width="21.73046875" customWidth="1"/>
    <col min="15107" max="15107" width="19.86328125" customWidth="1"/>
    <col min="15108" max="15108" width="15.1328125" customWidth="1"/>
    <col min="15361" max="15361" width="24" customWidth="1"/>
    <col min="15362" max="15362" width="21.73046875" customWidth="1"/>
    <col min="15363" max="15363" width="19.86328125" customWidth="1"/>
    <col min="15364" max="15364" width="15.1328125" customWidth="1"/>
    <col min="15617" max="15617" width="24" customWidth="1"/>
    <col min="15618" max="15618" width="21.73046875" customWidth="1"/>
    <col min="15619" max="15619" width="19.86328125" customWidth="1"/>
    <col min="15620" max="15620" width="15.1328125" customWidth="1"/>
    <col min="15873" max="15873" width="24" customWidth="1"/>
    <col min="15874" max="15874" width="21.73046875" customWidth="1"/>
    <col min="15875" max="15875" width="19.86328125" customWidth="1"/>
    <col min="15876" max="15876" width="15.1328125" customWidth="1"/>
    <col min="16129" max="16129" width="24" customWidth="1"/>
    <col min="16130" max="16130" width="21.73046875" customWidth="1"/>
    <col min="16131" max="16131" width="19.86328125" customWidth="1"/>
    <col min="16132" max="16132" width="15.1328125" customWidth="1"/>
  </cols>
  <sheetData>
    <row r="1" spans="1:8" ht="23.25" x14ac:dyDescent="0.7">
      <c r="A1" s="67" t="s">
        <v>763</v>
      </c>
      <c r="B1" s="131" t="s">
        <v>708</v>
      </c>
      <c r="C1" s="3"/>
      <c r="D1" s="10"/>
      <c r="E1" s="3"/>
      <c r="F1" s="3"/>
      <c r="G1" s="3"/>
      <c r="H1" s="3"/>
    </row>
    <row r="2" spans="1:8" ht="15.75" x14ac:dyDescent="0.5">
      <c r="B2" s="3"/>
      <c r="C2" s="3"/>
      <c r="D2" s="10"/>
      <c r="E2" s="3"/>
      <c r="F2" s="3"/>
      <c r="G2" s="3"/>
      <c r="H2" s="3"/>
    </row>
    <row r="3" spans="1:8" ht="18" x14ac:dyDescent="0.55000000000000004">
      <c r="A3" s="171" t="s">
        <v>709</v>
      </c>
      <c r="B3" s="3"/>
      <c r="C3" s="3"/>
      <c r="D3" s="10"/>
      <c r="E3" s="3"/>
      <c r="F3" s="3"/>
      <c r="G3" s="3"/>
      <c r="H3" s="3"/>
    </row>
    <row r="4" spans="1:8" ht="18" x14ac:dyDescent="0.55000000000000004">
      <c r="A4" s="58" t="s">
        <v>671</v>
      </c>
      <c r="B4" s="154">
        <v>1000000</v>
      </c>
      <c r="C4" s="3"/>
      <c r="D4" s="10"/>
      <c r="E4" s="3"/>
      <c r="F4" s="3"/>
      <c r="G4" s="3"/>
      <c r="H4" s="3"/>
    </row>
    <row r="5" spans="1:8" ht="18" x14ac:dyDescent="0.55000000000000004">
      <c r="A5" s="58" t="s">
        <v>672</v>
      </c>
      <c r="B5" s="155">
        <v>42736</v>
      </c>
      <c r="C5" s="3"/>
      <c r="D5" s="10"/>
      <c r="E5" s="3"/>
      <c r="F5" s="3"/>
      <c r="G5" s="3"/>
      <c r="H5" s="3"/>
    </row>
    <row r="6" spans="1:8" ht="18" x14ac:dyDescent="0.55000000000000004">
      <c r="A6" s="58" t="s">
        <v>145</v>
      </c>
      <c r="B6" s="155">
        <v>42917</v>
      </c>
      <c r="C6" s="3"/>
      <c r="D6" s="10"/>
      <c r="E6" s="3"/>
      <c r="F6" s="3"/>
      <c r="G6" s="3"/>
      <c r="H6" s="3"/>
    </row>
    <row r="7" spans="1:8" ht="18" x14ac:dyDescent="0.55000000000000004">
      <c r="A7" s="58" t="s">
        <v>710</v>
      </c>
      <c r="B7" s="156">
        <v>8.5000000000000006E-3</v>
      </c>
      <c r="C7" s="3"/>
      <c r="D7" s="10"/>
      <c r="E7" s="3"/>
      <c r="F7" s="3"/>
      <c r="G7" s="3"/>
      <c r="H7" s="3"/>
    </row>
    <row r="8" spans="1:8" ht="18" x14ac:dyDescent="0.55000000000000004">
      <c r="A8" s="58" t="s">
        <v>177</v>
      </c>
      <c r="B8" s="172">
        <v>99.29</v>
      </c>
      <c r="C8" s="8" t="s">
        <v>711</v>
      </c>
      <c r="D8" s="10" t="s">
        <v>712</v>
      </c>
      <c r="E8" s="3">
        <f>(29/32)</f>
        <v>0.90625</v>
      </c>
      <c r="F8" s="3"/>
      <c r="G8" s="3"/>
      <c r="H8" s="3"/>
    </row>
    <row r="9" spans="1:8" ht="18" x14ac:dyDescent="0.55000000000000004">
      <c r="A9" s="58" t="s">
        <v>713</v>
      </c>
      <c r="B9" s="172">
        <f>LEFT(B8,2)+RIGHT(B8,2)/32</f>
        <v>99.90625</v>
      </c>
      <c r="C9" s="8" t="s">
        <v>711</v>
      </c>
      <c r="D9" s="173" t="s">
        <v>714</v>
      </c>
      <c r="E9" s="3"/>
      <c r="F9" s="3"/>
      <c r="G9" s="3"/>
      <c r="H9" s="3"/>
    </row>
    <row r="10" spans="1:8" ht="18" x14ac:dyDescent="0.55000000000000004">
      <c r="A10" s="58"/>
      <c r="B10" s="131"/>
      <c r="C10" s="3"/>
      <c r="D10" s="10"/>
      <c r="E10" s="3"/>
      <c r="F10" s="3"/>
      <c r="G10" s="3"/>
      <c r="H10" s="3"/>
    </row>
    <row r="11" spans="1:8" ht="18" x14ac:dyDescent="0.55000000000000004">
      <c r="A11" s="58" t="s">
        <v>673</v>
      </c>
      <c r="B11" s="131">
        <f>(B6-B5)</f>
        <v>181</v>
      </c>
      <c r="C11" s="8" t="s">
        <v>711</v>
      </c>
      <c r="D11" s="173" t="s">
        <v>715</v>
      </c>
      <c r="E11" s="3"/>
      <c r="F11" s="3"/>
      <c r="G11" s="3"/>
      <c r="H11" s="3"/>
    </row>
    <row r="12" spans="1:8" ht="18" x14ac:dyDescent="0.55000000000000004">
      <c r="A12" s="58"/>
      <c r="B12" s="131"/>
      <c r="C12" s="8"/>
      <c r="D12" s="173"/>
      <c r="E12" s="3"/>
      <c r="F12" s="3"/>
      <c r="G12" s="3"/>
      <c r="H12" s="3"/>
    </row>
    <row r="13" spans="1:8" ht="18" x14ac:dyDescent="0.55000000000000004">
      <c r="A13" s="58" t="s">
        <v>157</v>
      </c>
      <c r="B13" s="156">
        <f>((B7*100)+((100-B9)/(B11/360)))/((100+B9)/2)</f>
        <v>1.0369501587847203E-2</v>
      </c>
      <c r="C13" s="8"/>
      <c r="D13" s="173"/>
      <c r="E13" s="3"/>
      <c r="F13" s="3"/>
      <c r="G13" s="3"/>
      <c r="H13" s="3"/>
    </row>
    <row r="14" spans="1:8" ht="18" x14ac:dyDescent="0.55000000000000004">
      <c r="A14" s="36"/>
      <c r="B14" s="3"/>
      <c r="C14" s="3"/>
      <c r="D14" s="10"/>
      <c r="E14" s="3"/>
      <c r="F14" s="3"/>
      <c r="G14" s="3"/>
      <c r="H14" s="3"/>
    </row>
    <row r="15" spans="1:8" ht="18" x14ac:dyDescent="0.55000000000000004">
      <c r="A15" s="36"/>
      <c r="B15" s="3"/>
      <c r="C15" s="3"/>
      <c r="D15" s="10"/>
      <c r="E15" s="3"/>
      <c r="F15" s="3"/>
      <c r="G15" s="3"/>
      <c r="H15" s="3"/>
    </row>
    <row r="16" spans="1:8" ht="18" x14ac:dyDescent="0.55000000000000004">
      <c r="A16" s="149" t="s">
        <v>687</v>
      </c>
      <c r="B16" s="135" t="s">
        <v>716</v>
      </c>
      <c r="C16" s="161" t="s">
        <v>717</v>
      </c>
      <c r="D16" s="10"/>
      <c r="E16" s="3"/>
      <c r="F16" s="3"/>
      <c r="G16" s="3"/>
      <c r="H16" s="3"/>
    </row>
    <row r="17" spans="1:8" ht="18" x14ac:dyDescent="0.55000000000000004">
      <c r="A17" s="36"/>
      <c r="B17" s="137">
        <f>YIELD(B5,B6,B7,B9,100,2,1)</f>
        <v>1.0384735689709348E-2</v>
      </c>
      <c r="C17" s="162" t="s">
        <v>753</v>
      </c>
      <c r="D17" s="10"/>
      <c r="E17" s="3"/>
      <c r="F17" s="3"/>
      <c r="G17" s="3"/>
      <c r="H17" s="3"/>
    </row>
    <row r="18" spans="1:8" ht="18" x14ac:dyDescent="0.55000000000000004">
      <c r="A18" s="36"/>
      <c r="B18" s="3"/>
      <c r="C18" s="162" t="s">
        <v>754</v>
      </c>
      <c r="D18" s="10"/>
      <c r="E18" s="3"/>
      <c r="F18" s="3"/>
      <c r="G18" s="3"/>
      <c r="H18" s="3"/>
    </row>
    <row r="19" spans="1:8" ht="18" x14ac:dyDescent="0.55000000000000004">
      <c r="A19" s="36"/>
      <c r="B19" s="3"/>
      <c r="C19" s="162" t="s">
        <v>758</v>
      </c>
      <c r="D19" s="10"/>
      <c r="E19" s="3"/>
      <c r="F19" s="3"/>
      <c r="G19" s="3"/>
      <c r="H19" s="3"/>
    </row>
    <row r="20" spans="1:8" ht="18" x14ac:dyDescent="0.55000000000000004">
      <c r="A20" s="36"/>
      <c r="B20" s="3"/>
      <c r="C20" s="162" t="s">
        <v>759</v>
      </c>
      <c r="D20" s="10"/>
      <c r="E20" s="3"/>
      <c r="F20" s="3"/>
      <c r="G20" s="3"/>
      <c r="H20" s="3"/>
    </row>
    <row r="21" spans="1:8" ht="18" x14ac:dyDescent="0.55000000000000004">
      <c r="A21" s="36"/>
      <c r="B21" s="3"/>
      <c r="C21" s="162" t="s">
        <v>760</v>
      </c>
      <c r="D21" s="10"/>
      <c r="E21" s="3"/>
      <c r="F21" s="3"/>
      <c r="G21" s="3"/>
      <c r="H21" s="3"/>
    </row>
    <row r="22" spans="1:8" ht="18" x14ac:dyDescent="0.55000000000000004">
      <c r="A22" s="36"/>
      <c r="B22" s="3"/>
      <c r="C22" s="162" t="s">
        <v>761</v>
      </c>
      <c r="D22" s="10"/>
      <c r="E22" s="3"/>
      <c r="F22" s="3"/>
      <c r="G22" s="3"/>
      <c r="H22" s="3"/>
    </row>
    <row r="23" spans="1:8" ht="18" x14ac:dyDescent="0.55000000000000004">
      <c r="A23" s="36"/>
      <c r="B23" s="3"/>
      <c r="C23" s="162" t="s">
        <v>757</v>
      </c>
      <c r="D23" s="3"/>
      <c r="E23" s="3"/>
      <c r="F23" s="3"/>
      <c r="G23" s="3"/>
      <c r="H23" s="3"/>
    </row>
    <row r="24" spans="1:8" ht="18" x14ac:dyDescent="0.55000000000000004">
      <c r="A24" s="36"/>
      <c r="B24" s="3"/>
      <c r="C24" s="174"/>
      <c r="D24" s="3"/>
      <c r="E24" s="3"/>
      <c r="F24" s="3"/>
      <c r="G24" s="3"/>
      <c r="H24" s="3"/>
    </row>
    <row r="25" spans="1:8" ht="31.15" x14ac:dyDescent="0.55000000000000004">
      <c r="A25" s="36"/>
      <c r="B25" s="3"/>
      <c r="C25" s="175" t="s">
        <v>690</v>
      </c>
      <c r="D25" s="175" t="s">
        <v>691</v>
      </c>
      <c r="E25" s="3"/>
      <c r="F25" s="3"/>
      <c r="G25" s="3"/>
      <c r="H25" s="3"/>
    </row>
    <row r="26" spans="1:8" ht="30" x14ac:dyDescent="0.55000000000000004">
      <c r="A26" s="36"/>
      <c r="B26" s="3"/>
      <c r="C26" s="176" t="s">
        <v>692</v>
      </c>
      <c r="D26" s="176" t="s">
        <v>127</v>
      </c>
      <c r="E26" s="3"/>
      <c r="F26" s="3"/>
      <c r="G26" s="3"/>
      <c r="H26" s="3"/>
    </row>
    <row r="27" spans="1:8" ht="30" x14ac:dyDescent="0.55000000000000004">
      <c r="A27" s="36"/>
      <c r="B27" s="3"/>
      <c r="C27" s="177">
        <v>1</v>
      </c>
      <c r="D27" s="177" t="s">
        <v>693</v>
      </c>
      <c r="E27" s="3"/>
      <c r="F27" s="3"/>
      <c r="G27" s="3"/>
      <c r="H27" s="3"/>
    </row>
    <row r="28" spans="1:8" ht="18" x14ac:dyDescent="0.55000000000000004">
      <c r="A28" s="36"/>
      <c r="B28" s="3"/>
      <c r="C28" s="176">
        <v>2</v>
      </c>
      <c r="D28" s="176" t="s">
        <v>694</v>
      </c>
      <c r="E28" s="3"/>
      <c r="F28" s="3"/>
      <c r="G28" s="3"/>
      <c r="H28" s="3"/>
    </row>
    <row r="29" spans="1:8" ht="18" x14ac:dyDescent="0.55000000000000004">
      <c r="A29" s="36"/>
      <c r="B29" s="3"/>
      <c r="C29" s="178">
        <v>3</v>
      </c>
      <c r="D29" s="178" t="s">
        <v>695</v>
      </c>
      <c r="E29" s="3"/>
      <c r="F29" s="3"/>
      <c r="G29" s="3"/>
      <c r="H29" s="3"/>
    </row>
    <row r="30" spans="1:8" ht="30" x14ac:dyDescent="0.55000000000000004">
      <c r="A30" s="36"/>
      <c r="B30" s="3"/>
      <c r="C30" s="176">
        <v>4</v>
      </c>
      <c r="D30" s="176" t="s">
        <v>131</v>
      </c>
      <c r="E30" s="3"/>
      <c r="F30" s="3"/>
      <c r="G30" s="3"/>
      <c r="H30" s="3"/>
    </row>
    <row r="31" spans="1:8" ht="18" x14ac:dyDescent="0.55000000000000004">
      <c r="A31" s="36"/>
      <c r="B31" s="3"/>
      <c r="C31" s="3"/>
      <c r="D31" s="3"/>
      <c r="E31" s="3"/>
      <c r="F31" s="3"/>
      <c r="G31" s="3"/>
      <c r="H31" s="3"/>
    </row>
    <row r="32" spans="1:8" ht="18" x14ac:dyDescent="0.55000000000000004">
      <c r="A32" s="36"/>
      <c r="B32" s="3"/>
      <c r="C32" s="3"/>
      <c r="D32" s="3"/>
      <c r="E32" s="3"/>
      <c r="F32" s="3"/>
      <c r="G32" s="3"/>
      <c r="H32" s="3"/>
    </row>
    <row r="33" spans="1:8" ht="18" x14ac:dyDescent="0.55000000000000004">
      <c r="A33" s="171" t="s">
        <v>718</v>
      </c>
      <c r="B33" s="3"/>
      <c r="C33" s="3"/>
      <c r="D33" s="3"/>
      <c r="E33" s="3"/>
      <c r="F33" s="3"/>
      <c r="G33" s="3"/>
      <c r="H33" s="3"/>
    </row>
    <row r="34" spans="1:8" ht="18" x14ac:dyDescent="0.55000000000000004">
      <c r="A34" s="58" t="s">
        <v>671</v>
      </c>
      <c r="B34" s="154">
        <v>1000000</v>
      </c>
      <c r="C34" s="3"/>
      <c r="D34" s="3"/>
      <c r="E34" s="3"/>
      <c r="F34" s="3"/>
      <c r="G34" s="3"/>
      <c r="H34" s="3"/>
    </row>
    <row r="35" spans="1:8" ht="18" x14ac:dyDescent="0.55000000000000004">
      <c r="A35" s="58" t="s">
        <v>672</v>
      </c>
      <c r="B35" s="155">
        <v>42736</v>
      </c>
      <c r="C35" s="3"/>
      <c r="D35" s="3"/>
      <c r="E35" s="3"/>
      <c r="F35" s="3"/>
      <c r="G35" s="3"/>
      <c r="H35" s="3"/>
    </row>
    <row r="36" spans="1:8" ht="18" x14ac:dyDescent="0.55000000000000004">
      <c r="A36" s="58" t="s">
        <v>145</v>
      </c>
      <c r="B36" s="155">
        <v>42917</v>
      </c>
      <c r="C36" s="3"/>
      <c r="D36" s="3"/>
      <c r="E36" s="3"/>
      <c r="F36" s="3"/>
      <c r="G36" s="3"/>
      <c r="H36" s="3"/>
    </row>
    <row r="37" spans="1:8" ht="18" x14ac:dyDescent="0.55000000000000004">
      <c r="A37" s="58" t="s">
        <v>710</v>
      </c>
      <c r="B37" s="156">
        <v>8.5000000000000006E-3</v>
      </c>
      <c r="C37" s="3"/>
      <c r="D37" s="3"/>
      <c r="E37" s="3"/>
      <c r="F37" s="3"/>
      <c r="G37" s="3"/>
      <c r="H37" s="3"/>
    </row>
    <row r="38" spans="1:8" ht="18" x14ac:dyDescent="0.55000000000000004">
      <c r="A38" s="58" t="s">
        <v>177</v>
      </c>
      <c r="B38" s="172">
        <v>100.09</v>
      </c>
      <c r="C38" s="3"/>
      <c r="D38" s="3"/>
      <c r="E38" s="3"/>
      <c r="F38" s="3"/>
      <c r="G38" s="3"/>
      <c r="H38" s="3"/>
    </row>
    <row r="39" spans="1:8" ht="18" x14ac:dyDescent="0.55000000000000004">
      <c r="A39" s="58"/>
      <c r="B39" s="131"/>
      <c r="C39" s="3"/>
      <c r="D39" s="3"/>
      <c r="E39" s="3"/>
      <c r="F39" s="3"/>
      <c r="G39" s="3"/>
      <c r="H39" s="3"/>
    </row>
    <row r="40" spans="1:8" ht="18" x14ac:dyDescent="0.55000000000000004">
      <c r="A40" s="58" t="s">
        <v>673</v>
      </c>
      <c r="B40" s="131">
        <f>(B36-B35)</f>
        <v>181</v>
      </c>
      <c r="C40" s="8" t="s">
        <v>711</v>
      </c>
      <c r="D40" s="173" t="s">
        <v>715</v>
      </c>
      <c r="E40" s="3"/>
      <c r="F40" s="3"/>
      <c r="G40" s="3"/>
      <c r="H40" s="3"/>
    </row>
    <row r="41" spans="1:8" ht="18" x14ac:dyDescent="0.55000000000000004">
      <c r="A41" s="58"/>
      <c r="B41" s="131"/>
      <c r="C41" s="8"/>
      <c r="D41" s="173"/>
      <c r="E41" s="3"/>
      <c r="F41" s="3"/>
      <c r="G41" s="3"/>
      <c r="H41" s="3"/>
    </row>
    <row r="42" spans="1:8" ht="18" x14ac:dyDescent="0.55000000000000004">
      <c r="A42" s="58" t="s">
        <v>157</v>
      </c>
      <c r="B42" s="40">
        <f>((B37*100)+((100-B38)/(B40/365)))/((100+B38)/2)</f>
        <v>6.6820759387556687E-3</v>
      </c>
      <c r="C42" s="3"/>
      <c r="D42" s="3"/>
      <c r="E42" s="3"/>
      <c r="F42" s="3"/>
      <c r="G42" s="3"/>
      <c r="H42" s="3"/>
    </row>
    <row r="43" spans="1:8" ht="18" x14ac:dyDescent="0.55000000000000004">
      <c r="A43" s="36"/>
      <c r="B43" s="3"/>
      <c r="C43" s="3"/>
      <c r="D43" s="3"/>
      <c r="E43" s="3"/>
      <c r="F43" s="3"/>
      <c r="G43" s="3"/>
      <c r="H43" s="3"/>
    </row>
    <row r="44" spans="1:8" ht="18" x14ac:dyDescent="0.55000000000000004">
      <c r="A44" s="149" t="s">
        <v>687</v>
      </c>
      <c r="B44" s="135" t="s">
        <v>716</v>
      </c>
      <c r="C44" s="161" t="s">
        <v>717</v>
      </c>
      <c r="D44" s="10"/>
      <c r="E44" s="3"/>
      <c r="F44" s="3"/>
      <c r="G44" s="3"/>
      <c r="H44" s="3"/>
    </row>
    <row r="45" spans="1:8" ht="18" x14ac:dyDescent="0.55000000000000004">
      <c r="A45" s="36"/>
      <c r="B45" s="137">
        <f>YIELD(B35,B36,B37,B38,100,2,0)</f>
        <v>6.6939754221200191E-3</v>
      </c>
      <c r="C45" s="162" t="s">
        <v>753</v>
      </c>
      <c r="D45" s="10"/>
      <c r="E45" s="3"/>
      <c r="F45" s="3"/>
      <c r="G45" s="3"/>
      <c r="H45" s="3"/>
    </row>
    <row r="46" spans="1:8" ht="18" x14ac:dyDescent="0.55000000000000004">
      <c r="A46" s="36"/>
      <c r="B46" s="3"/>
      <c r="C46" s="162" t="s">
        <v>754</v>
      </c>
      <c r="D46" s="10"/>
      <c r="E46" s="3"/>
      <c r="F46" s="3"/>
      <c r="G46" s="3"/>
      <c r="H46" s="3"/>
    </row>
    <row r="47" spans="1:8" ht="18" x14ac:dyDescent="0.55000000000000004">
      <c r="A47" s="36"/>
      <c r="B47" s="3"/>
      <c r="C47" s="162" t="s">
        <v>758</v>
      </c>
      <c r="D47" s="10"/>
      <c r="E47" s="3"/>
      <c r="F47" s="3"/>
      <c r="G47" s="3"/>
      <c r="H47" s="3"/>
    </row>
    <row r="48" spans="1:8" ht="18" x14ac:dyDescent="0.55000000000000004">
      <c r="A48" s="36"/>
      <c r="B48" s="3"/>
      <c r="C48" s="162" t="s">
        <v>759</v>
      </c>
      <c r="D48" s="10"/>
      <c r="E48" s="3"/>
      <c r="F48" s="3"/>
      <c r="G48" s="3"/>
      <c r="H48" s="3"/>
    </row>
    <row r="49" spans="1:8" ht="18" x14ac:dyDescent="0.55000000000000004">
      <c r="A49" s="36"/>
      <c r="B49" s="3"/>
      <c r="C49" s="162" t="s">
        <v>760</v>
      </c>
      <c r="D49" s="10"/>
      <c r="E49" s="3"/>
      <c r="F49" s="3"/>
      <c r="G49" s="3"/>
      <c r="H49" s="3"/>
    </row>
    <row r="50" spans="1:8" ht="18" x14ac:dyDescent="0.55000000000000004">
      <c r="A50" s="36"/>
      <c r="B50" s="3"/>
      <c r="C50" s="162" t="s">
        <v>761</v>
      </c>
      <c r="D50" s="10"/>
      <c r="E50" s="3"/>
      <c r="F50" s="3"/>
      <c r="G50" s="3"/>
      <c r="H50" s="3"/>
    </row>
    <row r="51" spans="1:8" ht="18" x14ac:dyDescent="0.55000000000000004">
      <c r="A51" s="36"/>
      <c r="B51" s="3"/>
      <c r="C51" s="162" t="s">
        <v>757</v>
      </c>
      <c r="D51" s="3"/>
      <c r="E51" s="3"/>
      <c r="F51" s="3"/>
      <c r="G51" s="3"/>
      <c r="H51" s="3"/>
    </row>
    <row r="52" spans="1:8" ht="18" x14ac:dyDescent="0.55000000000000004">
      <c r="A52" s="36"/>
      <c r="B52" s="3"/>
      <c r="C52" s="174"/>
      <c r="D52" s="3"/>
      <c r="E52" s="3"/>
      <c r="F52" s="3"/>
      <c r="G52" s="3"/>
      <c r="H52" s="3"/>
    </row>
    <row r="53" spans="1:8" ht="31.15" x14ac:dyDescent="0.55000000000000004">
      <c r="A53" s="36"/>
      <c r="B53" s="3"/>
      <c r="C53" s="175" t="s">
        <v>690</v>
      </c>
      <c r="D53" s="175" t="s">
        <v>691</v>
      </c>
      <c r="E53" s="3"/>
      <c r="F53" s="3"/>
      <c r="G53" s="3"/>
      <c r="H53" s="3"/>
    </row>
    <row r="54" spans="1:8" ht="30" x14ac:dyDescent="0.55000000000000004">
      <c r="A54" s="36"/>
      <c r="B54" s="3"/>
      <c r="C54" s="177" t="s">
        <v>692</v>
      </c>
      <c r="D54" s="177" t="s">
        <v>127</v>
      </c>
      <c r="E54" s="3"/>
      <c r="F54" s="3"/>
      <c r="G54" s="3"/>
      <c r="H54" s="3"/>
    </row>
    <row r="55" spans="1:8" ht="18" x14ac:dyDescent="0.55000000000000004">
      <c r="A55" s="36"/>
      <c r="B55" s="3"/>
      <c r="C55" s="179">
        <v>1</v>
      </c>
      <c r="D55" s="179" t="s">
        <v>693</v>
      </c>
      <c r="E55" s="3"/>
      <c r="F55" s="3"/>
      <c r="G55" s="3"/>
      <c r="H55" s="3"/>
    </row>
    <row r="56" spans="1:8" ht="18" x14ac:dyDescent="0.55000000000000004">
      <c r="A56" s="36"/>
      <c r="B56" s="3"/>
      <c r="C56" s="176">
        <v>2</v>
      </c>
      <c r="D56" s="176" t="s">
        <v>694</v>
      </c>
      <c r="E56" s="3"/>
      <c r="F56" s="3"/>
      <c r="G56" s="3"/>
      <c r="H56" s="3"/>
    </row>
    <row r="57" spans="1:8" ht="18" x14ac:dyDescent="0.55000000000000004">
      <c r="A57" s="36"/>
      <c r="B57" s="3"/>
      <c r="C57" s="178">
        <v>3</v>
      </c>
      <c r="D57" s="178" t="s">
        <v>695</v>
      </c>
      <c r="E57" s="3"/>
      <c r="F57" s="3"/>
      <c r="G57" s="3"/>
      <c r="H57" s="3"/>
    </row>
    <row r="58" spans="1:8" ht="30" x14ac:dyDescent="0.55000000000000004">
      <c r="A58" s="36"/>
      <c r="B58" s="3"/>
      <c r="C58" s="176">
        <v>4</v>
      </c>
      <c r="D58" s="176" t="s">
        <v>131</v>
      </c>
      <c r="E58" s="3"/>
      <c r="F58" s="3"/>
      <c r="G58" s="3"/>
      <c r="H58" s="3"/>
    </row>
    <row r="59" spans="1:8" ht="18" x14ac:dyDescent="0.55000000000000004">
      <c r="A59" s="36"/>
      <c r="B59" s="3"/>
      <c r="C59" s="3"/>
      <c r="D59" s="3"/>
      <c r="E59" s="3"/>
      <c r="F59" s="3"/>
      <c r="G59" s="3"/>
      <c r="H59" s="3"/>
    </row>
    <row r="60" spans="1:8" ht="18" x14ac:dyDescent="0.55000000000000004">
      <c r="A60" s="36"/>
      <c r="B60" s="3"/>
      <c r="C60" s="3"/>
      <c r="D60" s="3"/>
      <c r="E60" s="3"/>
      <c r="F60" s="3"/>
      <c r="G60" s="3"/>
      <c r="H60" s="3"/>
    </row>
    <row r="61" spans="1:8" ht="18" x14ac:dyDescent="0.55000000000000004">
      <c r="A61" s="150" t="s">
        <v>719</v>
      </c>
      <c r="B61" s="3"/>
      <c r="C61" s="3"/>
      <c r="D61" s="3"/>
      <c r="E61" s="3"/>
      <c r="F61" s="3"/>
      <c r="G61" s="3"/>
      <c r="H61" s="3"/>
    </row>
    <row r="62" spans="1:8" ht="18" x14ac:dyDescent="0.55000000000000004">
      <c r="A62" s="36" t="s">
        <v>720</v>
      </c>
      <c r="B62" s="3"/>
      <c r="C62" s="154">
        <f>(B63*B64)/100</f>
        <v>995000</v>
      </c>
      <c r="D62" s="3"/>
      <c r="E62" s="3"/>
      <c r="F62" s="3"/>
      <c r="G62" s="3"/>
      <c r="H62" s="3"/>
    </row>
    <row r="63" spans="1:8" ht="18" x14ac:dyDescent="0.55000000000000004">
      <c r="A63" s="151" t="s">
        <v>700</v>
      </c>
      <c r="B63" s="10">
        <v>1000000</v>
      </c>
      <c r="C63" s="3"/>
      <c r="D63" s="3"/>
      <c r="E63" s="3"/>
      <c r="F63" s="3"/>
      <c r="G63" s="3"/>
      <c r="H63" s="3"/>
    </row>
    <row r="64" spans="1:8" ht="18" x14ac:dyDescent="0.55000000000000004">
      <c r="A64" s="151" t="s">
        <v>177</v>
      </c>
      <c r="B64" s="3">
        <v>99.5</v>
      </c>
      <c r="C64" s="3"/>
      <c r="D64" s="3"/>
      <c r="E64" s="3"/>
      <c r="F64" s="3"/>
      <c r="G64" s="3"/>
      <c r="H64" s="3"/>
    </row>
    <row r="65" spans="1:8" ht="18" x14ac:dyDescent="0.55000000000000004">
      <c r="A65" s="36"/>
      <c r="B65" s="3"/>
      <c r="C65" s="3"/>
      <c r="D65" s="3"/>
      <c r="E65" s="3"/>
      <c r="F65" s="3"/>
      <c r="G65" s="3"/>
      <c r="H65" s="3"/>
    </row>
    <row r="66" spans="1:8" ht="18" x14ac:dyDescent="0.55000000000000004">
      <c r="A66" s="150" t="s">
        <v>721</v>
      </c>
      <c r="B66" s="3"/>
      <c r="C66" s="3"/>
      <c r="D66" s="3"/>
      <c r="E66" s="3"/>
      <c r="F66" s="3"/>
      <c r="G66" s="3"/>
      <c r="H66" s="3"/>
    </row>
    <row r="67" spans="1:8" ht="18" x14ac:dyDescent="0.55000000000000004">
      <c r="A67" s="36" t="s">
        <v>722</v>
      </c>
      <c r="B67" s="3"/>
      <c r="C67" s="154">
        <f>(B68*B69)/2</f>
        <v>30000</v>
      </c>
      <c r="D67" s="3"/>
      <c r="E67" s="3"/>
      <c r="F67" s="3"/>
      <c r="G67" s="3"/>
      <c r="H67" s="3"/>
    </row>
    <row r="68" spans="1:8" ht="18" x14ac:dyDescent="0.55000000000000004">
      <c r="A68" s="151" t="s">
        <v>700</v>
      </c>
      <c r="B68" s="10">
        <v>1000000</v>
      </c>
      <c r="C68" s="3"/>
      <c r="D68" s="3"/>
      <c r="E68" s="3"/>
      <c r="F68" s="3"/>
      <c r="G68" s="3"/>
      <c r="H68" s="3"/>
    </row>
    <row r="69" spans="1:8" ht="18" x14ac:dyDescent="0.55000000000000004">
      <c r="A69" s="151" t="s">
        <v>156</v>
      </c>
      <c r="B69" s="3">
        <v>0.06</v>
      </c>
      <c r="C69" s="3"/>
      <c r="D69" s="3"/>
      <c r="E69" s="3"/>
      <c r="F69" s="3"/>
      <c r="G69" s="3"/>
      <c r="H69" s="3"/>
    </row>
    <row r="70" spans="1:8" ht="18" x14ac:dyDescent="0.55000000000000004">
      <c r="A70" s="36"/>
      <c r="B70" s="3"/>
      <c r="C70" s="3"/>
      <c r="D70" s="3"/>
      <c r="E70" s="3"/>
      <c r="F70" s="3"/>
      <c r="G70" s="3"/>
      <c r="H70" s="3"/>
    </row>
    <row r="71" spans="1:8" ht="18" x14ac:dyDescent="0.55000000000000004">
      <c r="A71" s="150" t="s">
        <v>723</v>
      </c>
      <c r="B71" s="3"/>
      <c r="C71" s="3"/>
      <c r="D71" s="3"/>
      <c r="E71" s="3"/>
      <c r="F71" s="3"/>
      <c r="G71" s="3"/>
      <c r="H71" s="3"/>
    </row>
    <row r="72" spans="1:8" ht="18" x14ac:dyDescent="0.55000000000000004">
      <c r="A72" s="36" t="s">
        <v>724</v>
      </c>
      <c r="B72" s="3"/>
      <c r="C72" s="154">
        <f>(B73/B74)*B75</f>
        <v>15164.835164835165</v>
      </c>
      <c r="D72" s="3"/>
      <c r="E72" s="3"/>
      <c r="F72" s="3"/>
      <c r="G72" s="3"/>
      <c r="H72" s="3"/>
    </row>
    <row r="73" spans="1:8" ht="18" x14ac:dyDescent="0.55000000000000004">
      <c r="A73" s="151" t="s">
        <v>725</v>
      </c>
      <c r="B73" s="10">
        <v>30000</v>
      </c>
      <c r="C73" s="3"/>
      <c r="D73" s="3"/>
      <c r="E73" s="3"/>
      <c r="F73" s="3"/>
      <c r="G73" s="3"/>
      <c r="H73" s="3"/>
    </row>
    <row r="74" spans="1:8" ht="18" x14ac:dyDescent="0.55000000000000004">
      <c r="A74" s="151" t="s">
        <v>726</v>
      </c>
      <c r="B74" s="3">
        <v>182</v>
      </c>
      <c r="C74" s="3"/>
      <c r="D74" s="3"/>
      <c r="E74" s="3"/>
      <c r="F74" s="3"/>
      <c r="G74" s="3"/>
      <c r="H74" s="3"/>
    </row>
    <row r="75" spans="1:8" ht="18" x14ac:dyDescent="0.55000000000000004">
      <c r="A75" s="151" t="s">
        <v>727</v>
      </c>
      <c r="B75" s="3">
        <v>92</v>
      </c>
      <c r="C75" s="3"/>
      <c r="D75" s="3"/>
      <c r="E75" s="3"/>
      <c r="F75" s="3"/>
      <c r="G75" s="3"/>
      <c r="H75" s="3"/>
    </row>
    <row r="76" spans="1:8" ht="18" x14ac:dyDescent="0.55000000000000004">
      <c r="A76" s="151" t="s">
        <v>728</v>
      </c>
      <c r="B76" s="28">
        <v>39843</v>
      </c>
      <c r="C76" s="3"/>
      <c r="D76" s="3"/>
      <c r="E76" s="3"/>
      <c r="F76" s="3"/>
      <c r="G76" s="3"/>
      <c r="H76" s="3"/>
    </row>
    <row r="77" spans="1:8" ht="18" x14ac:dyDescent="0.55000000000000004">
      <c r="A77" s="151" t="s">
        <v>729</v>
      </c>
      <c r="B77" s="28">
        <v>39933</v>
      </c>
      <c r="C77" s="3"/>
      <c r="D77" s="3"/>
      <c r="E77" s="3"/>
      <c r="F77" s="3"/>
      <c r="G77" s="3"/>
      <c r="H77" s="3"/>
    </row>
    <row r="78" spans="1:8" ht="18" x14ac:dyDescent="0.55000000000000004">
      <c r="A78" s="151" t="s">
        <v>730</v>
      </c>
      <c r="B78" s="28">
        <v>39751</v>
      </c>
      <c r="C78" s="3"/>
      <c r="D78" s="3"/>
      <c r="E78" s="3"/>
      <c r="F78" s="3"/>
      <c r="G78" s="3"/>
      <c r="H78" s="3"/>
    </row>
    <row r="79" spans="1:8" ht="18" x14ac:dyDescent="0.55000000000000004">
      <c r="A79" s="36"/>
      <c r="B79" s="3"/>
      <c r="C79" s="3"/>
      <c r="D79" s="3"/>
      <c r="E79" s="3"/>
      <c r="F79" s="3"/>
      <c r="G79" s="3"/>
      <c r="H79" s="3"/>
    </row>
    <row r="80" spans="1:8" ht="18" x14ac:dyDescent="0.55000000000000004">
      <c r="A80" s="150"/>
      <c r="B80" s="3"/>
      <c r="C80" s="3"/>
      <c r="D80" s="3"/>
      <c r="E80" s="3"/>
      <c r="F80" s="3"/>
      <c r="G80" s="3"/>
      <c r="H80" s="3"/>
    </row>
    <row r="81" spans="1:8" ht="15.75" x14ac:dyDescent="0.5">
      <c r="B81" s="3"/>
      <c r="C81" s="154"/>
      <c r="D81" s="3"/>
      <c r="E81" s="3"/>
      <c r="F81" s="3"/>
      <c r="G81" s="3"/>
      <c r="H81" s="3"/>
    </row>
    <row r="82" spans="1:8" ht="15.75" x14ac:dyDescent="0.5">
      <c r="A82" s="138"/>
      <c r="B82" s="10"/>
      <c r="C82" s="3"/>
      <c r="D82" s="3"/>
      <c r="E82" s="3"/>
      <c r="F82" s="3"/>
      <c r="G82" s="3"/>
      <c r="H82" s="3"/>
    </row>
    <row r="83" spans="1:8" x14ac:dyDescent="0.45">
      <c r="A83" s="138"/>
    </row>
    <row r="84" spans="1:8" x14ac:dyDescent="0.45">
      <c r="A84" s="138"/>
    </row>
    <row r="85" spans="1:8" x14ac:dyDescent="0.45">
      <c r="A85" s="138"/>
      <c r="B85" s="140"/>
    </row>
    <row r="86" spans="1:8" x14ac:dyDescent="0.45">
      <c r="A86" s="138"/>
      <c r="B86" s="140"/>
    </row>
    <row r="87" spans="1:8" x14ac:dyDescent="0.45">
      <c r="A87" s="138"/>
      <c r="B87" s="140"/>
    </row>
  </sheetData>
  <pageMargins left="0.7" right="0.7" top="0.75" bottom="0.75" header="0.3" footer="0.3"/>
  <pageSetup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theme="4" tint="0.79998168889431442"/>
  </sheetPr>
  <dimension ref="A1:D16"/>
  <sheetViews>
    <sheetView workbookViewId="0">
      <selection activeCell="B9" sqref="B9"/>
    </sheetView>
  </sheetViews>
  <sheetFormatPr defaultColWidth="9.1328125" defaultRowHeight="15.75" x14ac:dyDescent="0.5"/>
  <cols>
    <col min="1" max="4" width="20.73046875" style="3" customWidth="1"/>
    <col min="5" max="6" width="15.73046875" style="3" customWidth="1"/>
    <col min="7" max="16384" width="9.1328125" style="3"/>
  </cols>
  <sheetData>
    <row r="1" spans="1:4" ht="24" customHeight="1" x14ac:dyDescent="0.7">
      <c r="A1" s="1" t="s">
        <v>249</v>
      </c>
    </row>
    <row r="3" spans="1:4" ht="21" x14ac:dyDescent="0.65">
      <c r="A3" s="37"/>
      <c r="B3"/>
      <c r="C3" s="38"/>
      <c r="D3"/>
    </row>
    <row r="4" spans="1:4" ht="18" x14ac:dyDescent="0.55000000000000004">
      <c r="A4" s="36" t="s">
        <v>243</v>
      </c>
      <c r="B4" s="11">
        <v>30000</v>
      </c>
      <c r="C4" s="8"/>
    </row>
    <row r="5" spans="1:4" ht="18" x14ac:dyDescent="0.55000000000000004">
      <c r="A5" s="36"/>
      <c r="C5" s="8"/>
    </row>
    <row r="6" spans="1:4" ht="18" x14ac:dyDescent="0.55000000000000004">
      <c r="A6" s="36" t="s">
        <v>1246</v>
      </c>
      <c r="B6" s="4">
        <v>1</v>
      </c>
      <c r="C6" s="8"/>
    </row>
    <row r="7" spans="1:4" ht="18" x14ac:dyDescent="0.55000000000000004">
      <c r="A7" s="36"/>
      <c r="C7" s="15"/>
    </row>
    <row r="8" spans="1:4" ht="18" x14ac:dyDescent="0.55000000000000004">
      <c r="A8" s="36" t="s">
        <v>3</v>
      </c>
      <c r="B8" s="53">
        <v>5.5E-2</v>
      </c>
      <c r="C8" s="8"/>
    </row>
    <row r="9" spans="1:4" x14ac:dyDescent="0.5">
      <c r="A9" s="39"/>
      <c r="B9" s="40"/>
      <c r="C9" s="41"/>
    </row>
    <row r="10" spans="1:4" x14ac:dyDescent="0.5">
      <c r="A10" s="42"/>
      <c r="B10" s="43"/>
      <c r="C10" s="41"/>
    </row>
    <row r="11" spans="1:4" ht="18" x14ac:dyDescent="0.55000000000000004">
      <c r="A11" s="49" t="s">
        <v>244</v>
      </c>
      <c r="B11" s="50" t="s">
        <v>245</v>
      </c>
      <c r="C11" s="50" t="s">
        <v>246</v>
      </c>
      <c r="D11" s="51" t="s">
        <v>247</v>
      </c>
    </row>
    <row r="12" spans="1:4" x14ac:dyDescent="0.5">
      <c r="A12" s="44" t="s">
        <v>248</v>
      </c>
      <c r="B12" s="14">
        <f>FV(B8/365,(B6*365),,-B4,0)</f>
        <v>31696.087109812488</v>
      </c>
      <c r="C12" s="14">
        <f>B12-$B$4</f>
        <v>1696.0871098124881</v>
      </c>
      <c r="D12" s="45">
        <f>POWER((1+($B$8/365)),365)-1</f>
        <v>5.6536236993749656E-2</v>
      </c>
    </row>
    <row r="13" spans="1:4" x14ac:dyDescent="0.5">
      <c r="A13" s="44" t="s">
        <v>62</v>
      </c>
      <c r="B13" s="14">
        <f>FV(B8/12,B6*12,,-B4,0)</f>
        <v>31692.235811566061</v>
      </c>
      <c r="C13" s="14">
        <f t="shared" ref="C13:C16" si="0">B13-$B$4</f>
        <v>1692.2358115660609</v>
      </c>
      <c r="D13" s="45">
        <f>POWER((1+($B$8/12)),12)-1</f>
        <v>5.6407860385535358E-2</v>
      </c>
    </row>
    <row r="14" spans="1:4" x14ac:dyDescent="0.5">
      <c r="A14" s="44" t="s">
        <v>151</v>
      </c>
      <c r="B14" s="14">
        <f>FV(B8/4,B6*4,,-B4,0)</f>
        <v>31684.344275463864</v>
      </c>
      <c r="C14" s="14">
        <f t="shared" si="0"/>
        <v>1684.3442754638636</v>
      </c>
      <c r="D14" s="45">
        <f>POWER((1+($B$8/4)),4)-1</f>
        <v>5.614480918212883E-2</v>
      </c>
    </row>
    <row r="15" spans="1:4" x14ac:dyDescent="0.5">
      <c r="A15" s="44" t="s">
        <v>150</v>
      </c>
      <c r="B15" s="14">
        <f>FV(B8/2,B6*2,,-B4,0)</f>
        <v>31672.687500000004</v>
      </c>
      <c r="C15" s="14">
        <f t="shared" si="0"/>
        <v>1672.6875000000036</v>
      </c>
      <c r="D15" s="45">
        <f>POWER((1+($B$8/2)),2)-1</f>
        <v>5.5756250000000174E-2</v>
      </c>
    </row>
    <row r="16" spans="1:4" x14ac:dyDescent="0.5">
      <c r="A16" s="46" t="s">
        <v>149</v>
      </c>
      <c r="B16" s="47">
        <f>FV(B8,B6,,-B4,0)</f>
        <v>31649.999999999996</v>
      </c>
      <c r="C16" s="47">
        <f t="shared" si="0"/>
        <v>1649.9999999999964</v>
      </c>
      <c r="D16" s="48">
        <f>POWER((1+($B$8/1)),1)-1</f>
        <v>5.4999999999999938E-2</v>
      </c>
    </row>
  </sheetData>
  <pageMargins left="0.7" right="0.7" top="0.75" bottom="0.75" header="0.3" footer="0.3"/>
  <pageSetup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tabColor theme="4" tint="0.79998168889431442"/>
  </sheetPr>
  <dimension ref="A1:F28"/>
  <sheetViews>
    <sheetView workbookViewId="0">
      <selection activeCell="C24" sqref="C24"/>
    </sheetView>
  </sheetViews>
  <sheetFormatPr defaultColWidth="9.1328125" defaultRowHeight="15.75" x14ac:dyDescent="0.5"/>
  <cols>
    <col min="1" max="4" width="22.73046875" style="3" customWidth="1"/>
    <col min="5" max="6" width="15.73046875" style="3" customWidth="1"/>
    <col min="7" max="16384" width="9.1328125" style="3"/>
  </cols>
  <sheetData>
    <row r="1" spans="1:4" ht="23.25" x14ac:dyDescent="0.7">
      <c r="A1" s="1" t="s">
        <v>583</v>
      </c>
    </row>
    <row r="2" spans="1:4" ht="18.75" customHeight="1" x14ac:dyDescent="0.5"/>
    <row r="3" spans="1:4" ht="18.75" customHeight="1" x14ac:dyDescent="0.65">
      <c r="A3" s="37"/>
      <c r="B3"/>
      <c r="C3" s="38"/>
      <c r="D3"/>
    </row>
    <row r="4" spans="1:4" ht="18.75" customHeight="1" x14ac:dyDescent="0.5">
      <c r="A4" s="3" t="s">
        <v>584</v>
      </c>
    </row>
    <row r="5" spans="1:4" ht="18.75" customHeight="1" x14ac:dyDescent="0.5">
      <c r="A5" s="3" t="s">
        <v>585</v>
      </c>
    </row>
    <row r="6" spans="1:4" ht="18.75" customHeight="1" x14ac:dyDescent="0.5"/>
    <row r="7" spans="1:4" ht="18.75" customHeight="1" x14ac:dyDescent="0.55000000000000004">
      <c r="A7" s="83" t="s">
        <v>593</v>
      </c>
      <c r="B7" s="83" t="s">
        <v>591</v>
      </c>
      <c r="C7" s="83" t="s">
        <v>586</v>
      </c>
      <c r="D7" s="83" t="s">
        <v>592</v>
      </c>
    </row>
    <row r="8" spans="1:4" ht="18.75" customHeight="1" x14ac:dyDescent="0.5">
      <c r="A8" s="3" t="s">
        <v>765</v>
      </c>
      <c r="B8" s="81">
        <v>3000000</v>
      </c>
      <c r="C8" s="82">
        <v>1</v>
      </c>
      <c r="D8" s="32">
        <f>(B8*C8)/$B$14</f>
        <v>0.38510911424903721</v>
      </c>
    </row>
    <row r="9" spans="1:4" ht="18.75" customHeight="1" x14ac:dyDescent="0.5">
      <c r="A9" s="3" t="s">
        <v>766</v>
      </c>
      <c r="B9" s="81">
        <v>1000000</v>
      </c>
      <c r="C9" s="82">
        <v>1</v>
      </c>
      <c r="D9" s="32">
        <f>(B9*C9)/$B$14</f>
        <v>0.12836970474967907</v>
      </c>
    </row>
    <row r="10" spans="1:4" ht="18.75" customHeight="1" x14ac:dyDescent="0.5">
      <c r="A10" s="3" t="s">
        <v>587</v>
      </c>
      <c r="B10" s="81">
        <v>2500000</v>
      </c>
      <c r="C10" s="82">
        <v>96</v>
      </c>
      <c r="D10" s="32">
        <f t="shared" ref="D10:D13" si="0">(B10*C10)/$B$14</f>
        <v>30.808729139922978</v>
      </c>
    </row>
    <row r="11" spans="1:4" ht="18.75" customHeight="1" x14ac:dyDescent="0.5">
      <c r="A11" s="3" t="s">
        <v>588</v>
      </c>
      <c r="B11" s="81">
        <v>1000000</v>
      </c>
      <c r="C11" s="82">
        <v>192</v>
      </c>
      <c r="D11" s="32">
        <f t="shared" si="0"/>
        <v>24.646983311938381</v>
      </c>
    </row>
    <row r="12" spans="1:4" ht="18.75" customHeight="1" x14ac:dyDescent="0.5">
      <c r="A12" s="3" t="s">
        <v>767</v>
      </c>
      <c r="B12" s="81">
        <v>200000</v>
      </c>
      <c r="C12" s="82">
        <v>90</v>
      </c>
      <c r="D12" s="32">
        <f t="shared" si="0"/>
        <v>2.3106546854942231</v>
      </c>
    </row>
    <row r="13" spans="1:4" ht="18.75" customHeight="1" x14ac:dyDescent="0.5">
      <c r="A13" s="3" t="s">
        <v>768</v>
      </c>
      <c r="B13" s="81">
        <v>90000</v>
      </c>
      <c r="C13" s="82">
        <v>180</v>
      </c>
      <c r="D13" s="32">
        <f t="shared" si="0"/>
        <v>2.0795892169448011</v>
      </c>
    </row>
    <row r="14" spans="1:4" ht="18.75" customHeight="1" x14ac:dyDescent="0.55000000000000004">
      <c r="A14" s="84" t="s">
        <v>589</v>
      </c>
      <c r="B14" s="85">
        <f>SUM(B8:B13)</f>
        <v>7790000</v>
      </c>
      <c r="C14" s="86"/>
      <c r="D14" s="87">
        <f>SUM(D8:D13)</f>
        <v>60.359435173299104</v>
      </c>
    </row>
    <row r="15" spans="1:4" ht="18.75" customHeight="1" x14ac:dyDescent="0.5"/>
    <row r="16" spans="1:4" ht="18.75" customHeight="1" x14ac:dyDescent="0.5"/>
    <row r="17" spans="1:6" ht="18.75" customHeight="1" x14ac:dyDescent="0.5">
      <c r="A17" s="3" t="s">
        <v>590</v>
      </c>
    </row>
    <row r="18" spans="1:6" ht="18.75" customHeight="1" x14ac:dyDescent="0.5">
      <c r="A18"/>
      <c r="B18"/>
      <c r="C18"/>
      <c r="D18"/>
    </row>
    <row r="21" spans="1:6" ht="18" x14ac:dyDescent="0.55000000000000004">
      <c r="A21" s="83" t="s">
        <v>593</v>
      </c>
      <c r="B21" s="83" t="s">
        <v>591</v>
      </c>
      <c r="C21" s="83" t="s">
        <v>1306</v>
      </c>
      <c r="D21" s="83" t="s">
        <v>1307</v>
      </c>
      <c r="F21" s="83" t="s">
        <v>592</v>
      </c>
    </row>
    <row r="22" spans="1:6" x14ac:dyDescent="0.5">
      <c r="A22" s="3" t="s">
        <v>765</v>
      </c>
      <c r="B22" s="81">
        <v>3000000</v>
      </c>
      <c r="C22" s="28">
        <v>45118</v>
      </c>
      <c r="D22" s="82">
        <v>1</v>
      </c>
      <c r="F22" s="32">
        <f t="shared" ref="F22:F27" si="1">(B22*D22)/$B$14</f>
        <v>0.38510911424903721</v>
      </c>
    </row>
    <row r="23" spans="1:6" x14ac:dyDescent="0.5">
      <c r="A23" s="3" t="s">
        <v>766</v>
      </c>
      <c r="B23" s="81">
        <v>1000000</v>
      </c>
      <c r="C23" s="28">
        <v>45118</v>
      </c>
      <c r="D23" s="82">
        <v>1</v>
      </c>
      <c r="F23" s="32">
        <f t="shared" si="1"/>
        <v>0.12836970474967907</v>
      </c>
    </row>
    <row r="24" spans="1:6" x14ac:dyDescent="0.5">
      <c r="A24" s="3" t="s">
        <v>587</v>
      </c>
      <c r="B24" s="81">
        <v>2500000</v>
      </c>
      <c r="D24" s="82">
        <v>96</v>
      </c>
      <c r="F24" s="32">
        <f t="shared" si="1"/>
        <v>30.808729139922978</v>
      </c>
    </row>
    <row r="25" spans="1:6" x14ac:dyDescent="0.5">
      <c r="A25" s="3" t="s">
        <v>588</v>
      </c>
      <c r="B25" s="81">
        <v>1000000</v>
      </c>
      <c r="D25" s="82">
        <v>192</v>
      </c>
      <c r="F25" s="32">
        <f t="shared" si="1"/>
        <v>24.646983311938381</v>
      </c>
    </row>
    <row r="26" spans="1:6" x14ac:dyDescent="0.5">
      <c r="A26" s="3" t="s">
        <v>767</v>
      </c>
      <c r="B26" s="81">
        <v>200000</v>
      </c>
      <c r="D26" s="82">
        <v>90</v>
      </c>
      <c r="F26" s="32">
        <f t="shared" si="1"/>
        <v>2.3106546854942231</v>
      </c>
    </row>
    <row r="27" spans="1:6" x14ac:dyDescent="0.5">
      <c r="A27" s="3" t="s">
        <v>768</v>
      </c>
      <c r="B27" s="81">
        <v>90000</v>
      </c>
      <c r="D27" s="82">
        <v>180</v>
      </c>
      <c r="F27" s="32">
        <f t="shared" si="1"/>
        <v>2.0795892169448011</v>
      </c>
    </row>
    <row r="28" spans="1:6" ht="18" x14ac:dyDescent="0.55000000000000004">
      <c r="A28" s="84" t="s">
        <v>589</v>
      </c>
      <c r="B28" s="85">
        <f>SUM(B22:B27)</f>
        <v>7790000</v>
      </c>
      <c r="D28" s="86"/>
      <c r="F28" s="87">
        <f>SUM(F22:F27)</f>
        <v>60.359435173299104</v>
      </c>
    </row>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425ED8-9F3D-4AF4-AE69-EB33D4B1165B}">
  <sheetPr>
    <tabColor theme="4" tint="0.79998168889431442"/>
  </sheetPr>
  <dimension ref="A1:F27"/>
  <sheetViews>
    <sheetView workbookViewId="0">
      <selection activeCell="S21" sqref="S21"/>
    </sheetView>
  </sheetViews>
  <sheetFormatPr defaultRowHeight="14.25" x14ac:dyDescent="0.45"/>
  <cols>
    <col min="3" max="6" width="15.73046875" customWidth="1"/>
  </cols>
  <sheetData>
    <row r="1" spans="1:6" ht="23.25" x14ac:dyDescent="0.7">
      <c r="A1" s="1" t="s">
        <v>1281</v>
      </c>
    </row>
    <row r="2" spans="1:6" ht="23.25" x14ac:dyDescent="0.7">
      <c r="A2" s="1"/>
    </row>
    <row r="3" spans="1:6" ht="23.25" x14ac:dyDescent="0.7">
      <c r="A3" s="1"/>
      <c r="B3" s="328" t="s">
        <v>1296</v>
      </c>
    </row>
    <row r="5" spans="1:6" ht="14.65" thickBot="1" x14ac:dyDescent="0.5">
      <c r="C5" s="358" t="s">
        <v>793</v>
      </c>
      <c r="D5" s="358" t="s">
        <v>1285</v>
      </c>
      <c r="E5" s="358" t="s">
        <v>1295</v>
      </c>
      <c r="F5" s="358" t="s">
        <v>1286</v>
      </c>
    </row>
    <row r="6" spans="1:6" x14ac:dyDescent="0.45">
      <c r="B6" t="s">
        <v>1282</v>
      </c>
      <c r="C6" s="88">
        <v>500000</v>
      </c>
      <c r="D6" s="352">
        <v>5.0938999999999998E-2</v>
      </c>
      <c r="E6" s="139">
        <f>(C6/$C$9)</f>
        <v>0.36363636363636365</v>
      </c>
      <c r="F6" s="352">
        <f>(D6*E6)</f>
        <v>1.8523272727272728E-2</v>
      </c>
    </row>
    <row r="7" spans="1:6" x14ac:dyDescent="0.45">
      <c r="B7" t="s">
        <v>1283</v>
      </c>
      <c r="C7" s="88">
        <v>750000</v>
      </c>
      <c r="D7" s="352">
        <v>5.0717999999999999E-2</v>
      </c>
      <c r="E7" s="139">
        <f t="shared" ref="E7:E9" si="0">(C7/$C$9)</f>
        <v>0.54545454545454541</v>
      </c>
      <c r="F7" s="352">
        <f t="shared" ref="F7:F9" si="1">(D7*E7)</f>
        <v>2.7664363636363633E-2</v>
      </c>
    </row>
    <row r="8" spans="1:6" ht="14.65" thickBot="1" x14ac:dyDescent="0.5">
      <c r="B8" t="s">
        <v>1284</v>
      </c>
      <c r="C8" s="353">
        <v>125000</v>
      </c>
      <c r="D8" s="354">
        <v>5.3031000000000002E-2</v>
      </c>
      <c r="E8" s="357">
        <f t="shared" si="0"/>
        <v>9.0909090909090912E-2</v>
      </c>
      <c r="F8" s="354">
        <f t="shared" si="1"/>
        <v>4.8210000000000006E-3</v>
      </c>
    </row>
    <row r="9" spans="1:6" x14ac:dyDescent="0.45">
      <c r="C9" s="355">
        <f>SUM(C6:C8)</f>
        <v>1375000</v>
      </c>
      <c r="D9" s="356">
        <f>AVERAGE(D6:D8)</f>
        <v>5.1562666666666666E-2</v>
      </c>
      <c r="E9" s="359">
        <f t="shared" si="0"/>
        <v>1</v>
      </c>
      <c r="F9" s="356">
        <f t="shared" si="1"/>
        <v>5.1562666666666666E-2</v>
      </c>
    </row>
    <row r="13" spans="1:6" ht="23.25" x14ac:dyDescent="0.7">
      <c r="A13" s="1" t="s">
        <v>1287</v>
      </c>
    </row>
    <row r="14" spans="1:6" ht="23.25" x14ac:dyDescent="0.7">
      <c r="A14" s="1"/>
      <c r="B14" s="328" t="s">
        <v>1297</v>
      </c>
    </row>
    <row r="16" spans="1:6" ht="14.65" thickBot="1" x14ac:dyDescent="0.5">
      <c r="C16" s="358" t="s">
        <v>1289</v>
      </c>
      <c r="D16" s="358" t="s">
        <v>1288</v>
      </c>
      <c r="E16" s="358" t="s">
        <v>1290</v>
      </c>
      <c r="F16" s="358" t="s">
        <v>1294</v>
      </c>
    </row>
    <row r="17" spans="1:6" x14ac:dyDescent="0.45">
      <c r="B17" t="s">
        <v>1291</v>
      </c>
      <c r="C17" s="88">
        <v>200000</v>
      </c>
      <c r="D17" s="88">
        <v>10500</v>
      </c>
      <c r="E17" s="88">
        <f>(C17+D17)</f>
        <v>210500</v>
      </c>
      <c r="F17" s="352">
        <f>(E17-C17)/C17</f>
        <v>5.2499999999999998E-2</v>
      </c>
    </row>
    <row r="18" spans="1:6" x14ac:dyDescent="0.45">
      <c r="B18" t="s">
        <v>1292</v>
      </c>
      <c r="C18" s="88">
        <v>225000</v>
      </c>
      <c r="D18" s="88">
        <v>11300</v>
      </c>
      <c r="E18" s="88">
        <f t="shared" ref="E18:E19" si="2">(C18+D18)</f>
        <v>236300</v>
      </c>
      <c r="F18" s="352">
        <f t="shared" ref="F18:F19" si="3">(E18-C18)/C18</f>
        <v>5.0222222222222224E-2</v>
      </c>
    </row>
    <row r="19" spans="1:6" ht="14.65" thickBot="1" x14ac:dyDescent="0.5">
      <c r="B19" t="s">
        <v>1293</v>
      </c>
      <c r="C19" s="353">
        <v>175000</v>
      </c>
      <c r="D19" s="353">
        <v>9000</v>
      </c>
      <c r="E19" s="353">
        <f t="shared" si="2"/>
        <v>184000</v>
      </c>
      <c r="F19" s="354">
        <f t="shared" si="3"/>
        <v>5.1428571428571428E-2</v>
      </c>
    </row>
    <row r="20" spans="1:6" x14ac:dyDescent="0.45">
      <c r="C20" s="355">
        <f>SUM(C17:C19)</f>
        <v>600000</v>
      </c>
      <c r="D20" s="355">
        <f t="shared" ref="D20:E20" si="4">SUM(D17:D19)</f>
        <v>30800</v>
      </c>
      <c r="E20" s="355">
        <f t="shared" si="4"/>
        <v>630800</v>
      </c>
      <c r="F20" s="356">
        <f>AVERAGE(F17:F19)</f>
        <v>5.1383597883597885E-2</v>
      </c>
    </row>
    <row r="24" spans="1:6" ht="23.25" x14ac:dyDescent="0.7">
      <c r="A24" s="1" t="s">
        <v>1299</v>
      </c>
    </row>
    <row r="26" spans="1:6" ht="23.25" x14ac:dyDescent="0.7">
      <c r="C26" s="360" t="s">
        <v>1300</v>
      </c>
    </row>
    <row r="27" spans="1:6" ht="23.25" x14ac:dyDescent="0.7">
      <c r="E27" s="361" t="s">
        <v>1301</v>
      </c>
    </row>
  </sheetData>
  <pageMargins left="0.7" right="0.7" top="0.75" bottom="0.75" header="0.3" footer="0.3"/>
  <pageSetup orientation="portrait"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C39A3E-E2A7-453B-B1E3-15A9302A883C}">
  <sheetPr>
    <tabColor theme="4" tint="0.79998168889431442"/>
  </sheetPr>
  <dimension ref="A1:P211"/>
  <sheetViews>
    <sheetView workbookViewId="0">
      <selection activeCell="E16" sqref="E16"/>
    </sheetView>
  </sheetViews>
  <sheetFormatPr defaultRowHeight="14.25" x14ac:dyDescent="0.45"/>
  <cols>
    <col min="3" max="3" width="31.73046875" bestFit="1" customWidth="1"/>
    <col min="4" max="4" width="15.59765625" bestFit="1" customWidth="1"/>
    <col min="6" max="6" width="9.3984375" bestFit="1" customWidth="1"/>
    <col min="9" max="9" width="11" bestFit="1" customWidth="1"/>
    <col min="10" max="12" width="11" customWidth="1"/>
    <col min="13" max="13" width="19" bestFit="1" customWidth="1"/>
    <col min="17" max="17" width="12.3984375" bestFit="1" customWidth="1"/>
  </cols>
  <sheetData>
    <row r="1" spans="1:16" ht="23.25" x14ac:dyDescent="0.7">
      <c r="A1" s="67" t="s">
        <v>1313</v>
      </c>
    </row>
    <row r="2" spans="1:16" ht="15" customHeight="1" x14ac:dyDescent="0.7">
      <c r="A2" s="67"/>
    </row>
    <row r="3" spans="1:16" ht="15.75" x14ac:dyDescent="0.5">
      <c r="B3" s="4" t="s">
        <v>1314</v>
      </c>
    </row>
    <row r="5" spans="1:16" ht="14.65" thickBot="1" x14ac:dyDescent="0.5">
      <c r="C5" s="328" t="s">
        <v>1315</v>
      </c>
      <c r="D5" s="328" t="s">
        <v>1316</v>
      </c>
      <c r="E5" s="328"/>
      <c r="F5" s="328"/>
    </row>
    <row r="6" spans="1:16" ht="14.65" thickBot="1" x14ac:dyDescent="0.5">
      <c r="C6" s="362" t="s">
        <v>1317</v>
      </c>
      <c r="D6" s="362" t="s">
        <v>1318</v>
      </c>
      <c r="E6" s="362"/>
      <c r="F6" s="362" t="s">
        <v>1319</v>
      </c>
      <c r="G6" s="363"/>
      <c r="H6" s="339" t="s">
        <v>1320</v>
      </c>
      <c r="I6" s="364" t="s">
        <v>1321</v>
      </c>
      <c r="J6" s="365" t="s">
        <v>1322</v>
      </c>
      <c r="K6" s="358"/>
      <c r="L6" s="339" t="s">
        <v>1323</v>
      </c>
      <c r="M6" s="365" t="s">
        <v>1324</v>
      </c>
      <c r="O6" s="339" t="s">
        <v>1323</v>
      </c>
      <c r="P6" s="365" t="s">
        <v>1325</v>
      </c>
    </row>
    <row r="7" spans="1:16" x14ac:dyDescent="0.45">
      <c r="C7" t="s">
        <v>1326</v>
      </c>
      <c r="D7" s="366">
        <v>1423706727</v>
      </c>
      <c r="F7" t="s">
        <v>1327</v>
      </c>
      <c r="H7" s="367">
        <v>1</v>
      </c>
      <c r="I7">
        <v>61</v>
      </c>
      <c r="J7" s="368">
        <v>0.29756097560975608</v>
      </c>
      <c r="L7" s="335">
        <v>1</v>
      </c>
      <c r="M7" s="369">
        <v>0.30099999999999999</v>
      </c>
      <c r="O7" s="335">
        <v>1</v>
      </c>
      <c r="P7" s="370">
        <v>3.4390243902439055E-3</v>
      </c>
    </row>
    <row r="8" spans="1:16" x14ac:dyDescent="0.45">
      <c r="C8" t="s">
        <v>1120</v>
      </c>
      <c r="D8" s="366">
        <v>1425804255</v>
      </c>
      <c r="F8" t="s">
        <v>1327</v>
      </c>
      <c r="H8" s="367">
        <v>2</v>
      </c>
      <c r="I8">
        <v>34</v>
      </c>
      <c r="J8" s="368">
        <v>0.16585365853658537</v>
      </c>
      <c r="L8" s="335">
        <v>2</v>
      </c>
      <c r="M8" s="369">
        <v>0.17599999999999999</v>
      </c>
      <c r="O8" s="335">
        <v>2</v>
      </c>
      <c r="P8" s="370">
        <v>1.0146341463414615E-2</v>
      </c>
    </row>
    <row r="9" spans="1:16" x14ac:dyDescent="0.45">
      <c r="C9" t="s">
        <v>1328</v>
      </c>
      <c r="D9" s="366">
        <v>339313230</v>
      </c>
      <c r="F9" t="s">
        <v>1329</v>
      </c>
      <c r="H9" s="367">
        <v>3</v>
      </c>
      <c r="I9">
        <v>30</v>
      </c>
      <c r="J9" s="368">
        <v>0.14634146341463414</v>
      </c>
      <c r="L9" s="335">
        <v>3</v>
      </c>
      <c r="M9" s="369">
        <v>0.125</v>
      </c>
      <c r="O9" s="335">
        <v>3</v>
      </c>
      <c r="P9" s="370">
        <v>-2.1341463414634138E-2</v>
      </c>
    </row>
    <row r="10" spans="1:16" x14ac:dyDescent="0.45">
      <c r="C10" t="s">
        <v>1330</v>
      </c>
      <c r="D10" s="366">
        <v>276679074</v>
      </c>
      <c r="F10" t="s">
        <v>1331</v>
      </c>
      <c r="H10" s="367">
        <v>4</v>
      </c>
      <c r="I10">
        <v>18</v>
      </c>
      <c r="J10" s="368">
        <v>8.7804878048780483E-2</v>
      </c>
      <c r="L10" s="335">
        <v>4</v>
      </c>
      <c r="M10" s="369">
        <v>9.7000000000000003E-2</v>
      </c>
      <c r="O10" s="335">
        <v>4</v>
      </c>
      <c r="P10" s="370">
        <v>9.1951219512195204E-3</v>
      </c>
    </row>
    <row r="11" spans="1:16" x14ac:dyDescent="0.45">
      <c r="C11" t="s">
        <v>1332</v>
      </c>
      <c r="D11" s="366">
        <v>238727341</v>
      </c>
      <c r="F11" t="s">
        <v>1331</v>
      </c>
      <c r="H11" s="367">
        <v>5</v>
      </c>
      <c r="I11">
        <v>22</v>
      </c>
      <c r="J11" s="368">
        <v>0.10731707317073171</v>
      </c>
      <c r="L11" s="335">
        <v>5</v>
      </c>
      <c r="M11" s="369">
        <v>7.9000000000000001E-2</v>
      </c>
      <c r="O11" s="335">
        <v>5</v>
      </c>
      <c r="P11" s="370">
        <v>-2.8317073170731705E-2</v>
      </c>
    </row>
    <row r="12" spans="1:16" x14ac:dyDescent="0.45">
      <c r="C12" t="s">
        <v>1333</v>
      </c>
      <c r="D12" s="366">
        <v>221828730</v>
      </c>
      <c r="F12" t="s">
        <v>1331</v>
      </c>
      <c r="H12" s="367">
        <v>6</v>
      </c>
      <c r="I12">
        <v>15</v>
      </c>
      <c r="J12" s="368">
        <v>7.3170731707317069E-2</v>
      </c>
      <c r="L12" s="335">
        <v>6</v>
      </c>
      <c r="M12" s="369">
        <v>6.7000000000000004E-2</v>
      </c>
      <c r="O12" s="335">
        <v>6</v>
      </c>
      <c r="P12" s="370">
        <v>-6.1707317073170648E-3</v>
      </c>
    </row>
    <row r="13" spans="1:16" x14ac:dyDescent="0.45">
      <c r="C13" t="s">
        <v>1334</v>
      </c>
      <c r="D13" s="366">
        <v>215960226</v>
      </c>
      <c r="F13" t="s">
        <v>1331</v>
      </c>
      <c r="H13" s="367">
        <v>7</v>
      </c>
      <c r="I13">
        <v>8</v>
      </c>
      <c r="J13" s="368">
        <v>3.9024390243902439E-2</v>
      </c>
      <c r="L13" s="335">
        <v>7</v>
      </c>
      <c r="M13" s="369">
        <v>5.8000000000000003E-2</v>
      </c>
      <c r="O13" s="335">
        <v>7</v>
      </c>
      <c r="P13" s="370">
        <v>1.8975609756097564E-2</v>
      </c>
    </row>
    <row r="14" spans="1:16" x14ac:dyDescent="0.45">
      <c r="C14" t="s">
        <v>1335</v>
      </c>
      <c r="D14" s="366">
        <v>172299214</v>
      </c>
      <c r="F14" t="s">
        <v>1327</v>
      </c>
      <c r="H14" s="367">
        <v>8</v>
      </c>
      <c r="I14">
        <v>10</v>
      </c>
      <c r="J14" s="368">
        <v>4.878048780487805E-2</v>
      </c>
      <c r="L14" s="335">
        <v>8</v>
      </c>
      <c r="M14" s="369">
        <v>5.0999999999999997E-2</v>
      </c>
      <c r="O14" s="335">
        <v>8</v>
      </c>
      <c r="P14" s="370">
        <v>2.2195121951219463E-3</v>
      </c>
    </row>
    <row r="15" spans="1:16" ht="14.65" thickBot="1" x14ac:dyDescent="0.5">
      <c r="C15" t="s">
        <v>1336</v>
      </c>
      <c r="D15" s="366">
        <v>144630188</v>
      </c>
      <c r="F15" t="s">
        <v>1327</v>
      </c>
      <c r="H15" s="371">
        <v>9</v>
      </c>
      <c r="I15" s="363">
        <v>7</v>
      </c>
      <c r="J15" s="372">
        <v>3.4146341463414637E-2</v>
      </c>
      <c r="L15" s="337">
        <v>9</v>
      </c>
      <c r="M15" s="373">
        <v>4.5999999999999999E-2</v>
      </c>
      <c r="O15" s="337">
        <v>9</v>
      </c>
      <c r="P15" s="374">
        <v>1.1853658536585363E-2</v>
      </c>
    </row>
    <row r="16" spans="1:16" x14ac:dyDescent="0.45">
      <c r="C16" t="s">
        <v>1337</v>
      </c>
      <c r="D16" s="366">
        <v>128103904</v>
      </c>
      <c r="F16" t="s">
        <v>1327</v>
      </c>
      <c r="I16">
        <v>205</v>
      </c>
    </row>
    <row r="17" spans="3:6" x14ac:dyDescent="0.45">
      <c r="C17" t="s">
        <v>1338</v>
      </c>
      <c r="D17" s="366">
        <v>125341519</v>
      </c>
      <c r="F17" t="s">
        <v>1327</v>
      </c>
    </row>
    <row r="18" spans="3:6" x14ac:dyDescent="0.45">
      <c r="C18" t="s">
        <v>1339</v>
      </c>
      <c r="D18" s="366">
        <v>123540325</v>
      </c>
      <c r="F18" t="s">
        <v>1327</v>
      </c>
    </row>
    <row r="19" spans="3:6" x14ac:dyDescent="0.45">
      <c r="C19" t="s">
        <v>1340</v>
      </c>
      <c r="D19" s="366">
        <v>116677558</v>
      </c>
      <c r="F19" t="s">
        <v>1327</v>
      </c>
    </row>
    <row r="20" spans="3:6" x14ac:dyDescent="0.45">
      <c r="C20" t="s">
        <v>1341</v>
      </c>
      <c r="D20" s="366">
        <v>112068549</v>
      </c>
      <c r="F20" t="s">
        <v>1327</v>
      </c>
    </row>
    <row r="21" spans="3:6" x14ac:dyDescent="0.45">
      <c r="C21" t="s">
        <v>1342</v>
      </c>
      <c r="D21" s="366">
        <v>101027870</v>
      </c>
      <c r="F21" t="s">
        <v>1327</v>
      </c>
    </row>
    <row r="22" spans="3:6" x14ac:dyDescent="0.45">
      <c r="C22" t="s">
        <v>1343</v>
      </c>
      <c r="D22" s="366">
        <v>98614315</v>
      </c>
      <c r="F22" t="s">
        <v>1344</v>
      </c>
    </row>
    <row r="23" spans="3:6" x14ac:dyDescent="0.45">
      <c r="C23" t="s">
        <v>1345</v>
      </c>
      <c r="D23" s="366">
        <v>88928132</v>
      </c>
      <c r="F23" t="s">
        <v>1346</v>
      </c>
    </row>
    <row r="24" spans="3:6" x14ac:dyDescent="0.45">
      <c r="C24" t="s">
        <v>1347</v>
      </c>
      <c r="D24" s="366">
        <v>85648012</v>
      </c>
      <c r="F24" t="s">
        <v>1346</v>
      </c>
    </row>
    <row r="25" spans="3:6" x14ac:dyDescent="0.45">
      <c r="C25" t="s">
        <v>1348</v>
      </c>
      <c r="D25" s="366">
        <v>83308747</v>
      </c>
      <c r="F25" t="s">
        <v>1346</v>
      </c>
    </row>
    <row r="26" spans="3:6" x14ac:dyDescent="0.45">
      <c r="C26" t="s">
        <v>1349</v>
      </c>
      <c r="D26" s="366">
        <v>71765995</v>
      </c>
      <c r="F26" t="s">
        <v>1350</v>
      </c>
    </row>
    <row r="27" spans="3:6" x14ac:dyDescent="0.45">
      <c r="C27" t="s">
        <v>1351</v>
      </c>
      <c r="D27" s="366">
        <v>67652121</v>
      </c>
      <c r="F27" t="s">
        <v>1352</v>
      </c>
    </row>
    <row r="28" spans="3:6" x14ac:dyDescent="0.45">
      <c r="C28" t="s">
        <v>1353</v>
      </c>
      <c r="D28" s="366">
        <v>66706552</v>
      </c>
      <c r="F28" t="s">
        <v>1352</v>
      </c>
    </row>
    <row r="29" spans="3:6" x14ac:dyDescent="0.45">
      <c r="C29" t="s">
        <v>1354</v>
      </c>
      <c r="D29" s="366">
        <v>64709539</v>
      </c>
      <c r="F29" t="s">
        <v>1352</v>
      </c>
    </row>
    <row r="30" spans="3:6" x14ac:dyDescent="0.45">
      <c r="C30" t="s">
        <v>1355</v>
      </c>
      <c r="D30" s="366">
        <v>60211024</v>
      </c>
      <c r="F30" t="s">
        <v>1352</v>
      </c>
    </row>
    <row r="31" spans="3:6" x14ac:dyDescent="0.45">
      <c r="C31" t="s">
        <v>1170</v>
      </c>
      <c r="D31" s="366">
        <v>58934273</v>
      </c>
      <c r="F31" t="s">
        <v>1356</v>
      </c>
    </row>
    <row r="32" spans="3:6" x14ac:dyDescent="0.45">
      <c r="C32" t="s">
        <v>1357</v>
      </c>
      <c r="D32" s="366">
        <v>54693644</v>
      </c>
      <c r="F32" t="s">
        <v>1356</v>
      </c>
    </row>
    <row r="33" spans="3:6" x14ac:dyDescent="0.45">
      <c r="C33" t="s">
        <v>1358</v>
      </c>
      <c r="D33" s="366">
        <v>54430981</v>
      </c>
      <c r="F33" t="s">
        <v>1356</v>
      </c>
    </row>
    <row r="34" spans="3:6" x14ac:dyDescent="0.45">
      <c r="C34" t="s">
        <v>1359</v>
      </c>
      <c r="D34" s="366">
        <v>51991077</v>
      </c>
      <c r="F34" t="s">
        <v>1356</v>
      </c>
    </row>
    <row r="35" spans="3:6" x14ac:dyDescent="0.45">
      <c r="C35" t="s">
        <v>1360</v>
      </c>
      <c r="D35" s="366">
        <v>51798173</v>
      </c>
      <c r="F35" t="s">
        <v>1356</v>
      </c>
    </row>
    <row r="36" spans="3:6" x14ac:dyDescent="0.45">
      <c r="C36" t="s">
        <v>1361</v>
      </c>
      <c r="D36" s="366">
        <v>48084830</v>
      </c>
      <c r="F36" t="s">
        <v>1362</v>
      </c>
    </row>
    <row r="37" spans="3:6" x14ac:dyDescent="0.45">
      <c r="C37" t="s">
        <v>1363</v>
      </c>
      <c r="D37" s="366">
        <v>47645610</v>
      </c>
      <c r="F37" t="s">
        <v>1362</v>
      </c>
    </row>
    <row r="38" spans="3:6" x14ac:dyDescent="0.45">
      <c r="C38" t="s">
        <v>1364</v>
      </c>
      <c r="D38" s="366">
        <v>47536094</v>
      </c>
      <c r="F38" t="s">
        <v>1362</v>
      </c>
    </row>
    <row r="39" spans="3:6" x14ac:dyDescent="0.45">
      <c r="C39" t="s">
        <v>1365</v>
      </c>
      <c r="D39" s="366">
        <v>45666856</v>
      </c>
      <c r="F39" t="s">
        <v>1362</v>
      </c>
    </row>
    <row r="40" spans="3:6" x14ac:dyDescent="0.45">
      <c r="C40" t="s">
        <v>1366</v>
      </c>
      <c r="D40" s="366">
        <v>45350083</v>
      </c>
      <c r="F40" t="s">
        <v>1362</v>
      </c>
    </row>
    <row r="41" spans="3:6" x14ac:dyDescent="0.45">
      <c r="C41" t="s">
        <v>1367</v>
      </c>
      <c r="D41" s="366">
        <v>45125846</v>
      </c>
      <c r="F41" t="s">
        <v>1362</v>
      </c>
    </row>
    <row r="42" spans="3:6" x14ac:dyDescent="0.45">
      <c r="C42" t="s">
        <v>1368</v>
      </c>
      <c r="D42" s="366">
        <v>41819975</v>
      </c>
      <c r="F42" t="s">
        <v>1362</v>
      </c>
    </row>
    <row r="43" spans="3:6" x14ac:dyDescent="0.45">
      <c r="C43" t="s">
        <v>1369</v>
      </c>
      <c r="D43" s="366">
        <v>41362441</v>
      </c>
      <c r="F43" t="s">
        <v>1362</v>
      </c>
    </row>
    <row r="44" spans="3:6" x14ac:dyDescent="0.45">
      <c r="C44" t="s">
        <v>1370</v>
      </c>
      <c r="D44" s="366">
        <v>38658973</v>
      </c>
      <c r="F44" t="s">
        <v>1329</v>
      </c>
    </row>
    <row r="45" spans="3:6" x14ac:dyDescent="0.45">
      <c r="C45" t="s">
        <v>1371</v>
      </c>
      <c r="D45" s="366">
        <v>37698908</v>
      </c>
      <c r="F45" t="s">
        <v>1329</v>
      </c>
    </row>
    <row r="46" spans="3:6" x14ac:dyDescent="0.45">
      <c r="C46" t="s">
        <v>1372</v>
      </c>
      <c r="D46" s="366">
        <v>36748259</v>
      </c>
      <c r="F46" t="s">
        <v>1329</v>
      </c>
    </row>
    <row r="47" spans="3:6" x14ac:dyDescent="0.45">
      <c r="C47" t="s">
        <v>1373</v>
      </c>
      <c r="D47" s="366">
        <v>36241250</v>
      </c>
      <c r="F47" t="s">
        <v>1329</v>
      </c>
    </row>
    <row r="48" spans="3:6" x14ac:dyDescent="0.45">
      <c r="C48" t="s">
        <v>1374</v>
      </c>
      <c r="D48" s="366">
        <v>36270204</v>
      </c>
      <c r="F48" t="s">
        <v>1329</v>
      </c>
    </row>
    <row r="49" spans="3:6" x14ac:dyDescent="0.45">
      <c r="C49" t="s">
        <v>1375</v>
      </c>
      <c r="D49" s="366">
        <v>34968706</v>
      </c>
      <c r="F49" t="s">
        <v>1329</v>
      </c>
    </row>
    <row r="50" spans="3:6" x14ac:dyDescent="0.45">
      <c r="C50" t="s">
        <v>1376</v>
      </c>
      <c r="D50" s="366">
        <v>34167553</v>
      </c>
      <c r="F50" t="s">
        <v>1329</v>
      </c>
    </row>
    <row r="51" spans="3:6" x14ac:dyDescent="0.45">
      <c r="C51" t="s">
        <v>1377</v>
      </c>
      <c r="D51" s="366">
        <v>34229225</v>
      </c>
      <c r="F51" t="s">
        <v>1329</v>
      </c>
    </row>
    <row r="52" spans="3:6" x14ac:dyDescent="0.45">
      <c r="C52" t="s">
        <v>1378</v>
      </c>
      <c r="D52" s="366">
        <v>34172094</v>
      </c>
      <c r="F52" t="s">
        <v>1329</v>
      </c>
    </row>
    <row r="53" spans="3:6" x14ac:dyDescent="0.45">
      <c r="C53" t="s">
        <v>1379</v>
      </c>
      <c r="D53" s="366">
        <v>33879702</v>
      </c>
      <c r="F53" t="s">
        <v>1329</v>
      </c>
    </row>
    <row r="54" spans="3:6" x14ac:dyDescent="0.45">
      <c r="C54" t="s">
        <v>1380</v>
      </c>
      <c r="D54" s="366">
        <v>33542162</v>
      </c>
      <c r="F54" t="s">
        <v>1329</v>
      </c>
    </row>
    <row r="55" spans="3:6" x14ac:dyDescent="0.45">
      <c r="C55" t="s">
        <v>1381</v>
      </c>
      <c r="D55" s="366">
        <v>30767215</v>
      </c>
      <c r="F55" t="s">
        <v>1329</v>
      </c>
    </row>
    <row r="56" spans="3:6" x14ac:dyDescent="0.45">
      <c r="C56" t="s">
        <v>1382</v>
      </c>
      <c r="D56" s="366">
        <v>30055222</v>
      </c>
      <c r="F56" t="s">
        <v>1329</v>
      </c>
    </row>
    <row r="57" spans="3:6" x14ac:dyDescent="0.45">
      <c r="C57" t="s">
        <v>1383</v>
      </c>
      <c r="D57" s="366">
        <v>28602524</v>
      </c>
      <c r="F57" t="s">
        <v>1331</v>
      </c>
    </row>
    <row r="58" spans="3:6" x14ac:dyDescent="0.45">
      <c r="C58" t="s">
        <v>1384</v>
      </c>
      <c r="D58" s="366">
        <v>28627971</v>
      </c>
      <c r="F58" t="s">
        <v>1331</v>
      </c>
    </row>
    <row r="59" spans="3:6" x14ac:dyDescent="0.45">
      <c r="C59" t="s">
        <v>1385</v>
      </c>
      <c r="D59" s="366">
        <v>28370902</v>
      </c>
      <c r="F59" t="s">
        <v>1331</v>
      </c>
    </row>
    <row r="60" spans="3:6" x14ac:dyDescent="0.45">
      <c r="C60" t="s">
        <v>1386</v>
      </c>
      <c r="D60" s="366">
        <v>26825305</v>
      </c>
      <c r="F60" t="s">
        <v>1331</v>
      </c>
    </row>
    <row r="61" spans="3:6" x14ac:dyDescent="0.45">
      <c r="C61" t="s">
        <v>1387</v>
      </c>
      <c r="D61" s="366">
        <v>26341492</v>
      </c>
      <c r="F61" t="s">
        <v>1331</v>
      </c>
    </row>
    <row r="62" spans="3:6" x14ac:dyDescent="0.45">
      <c r="C62" t="s">
        <v>1388</v>
      </c>
      <c r="D62" s="366">
        <v>26127889</v>
      </c>
      <c r="F62" t="s">
        <v>1331</v>
      </c>
    </row>
    <row r="63" spans="3:6" x14ac:dyDescent="0.45">
      <c r="C63" t="s">
        <v>1389</v>
      </c>
      <c r="D63" s="366">
        <v>23912691</v>
      </c>
      <c r="F63" t="s">
        <v>1331</v>
      </c>
    </row>
    <row r="64" spans="3:6" x14ac:dyDescent="0.45">
      <c r="C64" t="s">
        <v>1390</v>
      </c>
      <c r="D64" s="366">
        <v>23029068</v>
      </c>
      <c r="F64" t="s">
        <v>1331</v>
      </c>
    </row>
    <row r="65" spans="3:6" x14ac:dyDescent="0.45">
      <c r="C65" t="s">
        <v>1391</v>
      </c>
      <c r="D65" s="366">
        <v>23033901</v>
      </c>
      <c r="F65" t="s">
        <v>1331</v>
      </c>
    </row>
    <row r="66" spans="3:6" x14ac:dyDescent="0.45">
      <c r="C66" t="s">
        <v>1392</v>
      </c>
      <c r="D66" s="366">
        <v>22804783</v>
      </c>
      <c r="F66" t="s">
        <v>1331</v>
      </c>
    </row>
    <row r="67" spans="3:6" x14ac:dyDescent="0.45">
      <c r="C67" t="s">
        <v>1393</v>
      </c>
      <c r="D67" s="366">
        <v>21872409</v>
      </c>
      <c r="F67" t="s">
        <v>1331</v>
      </c>
    </row>
    <row r="68" spans="3:6" x14ac:dyDescent="0.45">
      <c r="C68" t="s">
        <v>1394</v>
      </c>
      <c r="D68" s="366">
        <v>20732985</v>
      </c>
      <c r="F68" t="s">
        <v>1331</v>
      </c>
    </row>
    <row r="69" spans="3:6" x14ac:dyDescent="0.45">
      <c r="C69" t="s">
        <v>1395</v>
      </c>
      <c r="D69" s="366">
        <v>20360386</v>
      </c>
      <c r="F69" t="s">
        <v>1331</v>
      </c>
    </row>
    <row r="70" spans="3:6" x14ac:dyDescent="0.45">
      <c r="C70" t="s">
        <v>1396</v>
      </c>
      <c r="D70" s="366">
        <v>20013954</v>
      </c>
      <c r="F70" t="s">
        <v>1331</v>
      </c>
    </row>
    <row r="71" spans="3:6" x14ac:dyDescent="0.45">
      <c r="C71" t="s">
        <v>1397</v>
      </c>
      <c r="D71" s="366">
        <v>19619005</v>
      </c>
      <c r="F71" t="s">
        <v>1327</v>
      </c>
    </row>
    <row r="72" spans="3:6" x14ac:dyDescent="0.45">
      <c r="C72" t="s">
        <v>1398</v>
      </c>
      <c r="D72" s="366">
        <v>19527832</v>
      </c>
      <c r="F72" t="s">
        <v>1327</v>
      </c>
    </row>
    <row r="73" spans="3:6" x14ac:dyDescent="0.45">
      <c r="C73" t="s">
        <v>1399</v>
      </c>
      <c r="D73" s="366">
        <v>18069217</v>
      </c>
      <c r="F73" t="s">
        <v>1327</v>
      </c>
    </row>
    <row r="74" spans="3:6" x14ac:dyDescent="0.45">
      <c r="C74" t="s">
        <v>1400</v>
      </c>
      <c r="D74" s="366">
        <v>18119916</v>
      </c>
      <c r="F74" t="s">
        <v>1327</v>
      </c>
    </row>
    <row r="75" spans="3:6" x14ac:dyDescent="0.45">
      <c r="C75" t="s">
        <v>1401</v>
      </c>
      <c r="D75" s="366">
        <v>17936379</v>
      </c>
      <c r="F75" t="s">
        <v>1327</v>
      </c>
    </row>
    <row r="76" spans="3:6" x14ac:dyDescent="0.45">
      <c r="C76" t="s">
        <v>1402</v>
      </c>
      <c r="D76" s="366">
        <v>17997935</v>
      </c>
      <c r="F76" t="s">
        <v>1327</v>
      </c>
    </row>
    <row r="77" spans="3:6" x14ac:dyDescent="0.45">
      <c r="C77" t="s">
        <v>1403</v>
      </c>
      <c r="D77" s="366">
        <v>17593800</v>
      </c>
      <c r="F77" t="s">
        <v>1327</v>
      </c>
    </row>
    <row r="78" spans="3:6" x14ac:dyDescent="0.45">
      <c r="C78" t="s">
        <v>1404</v>
      </c>
      <c r="D78" s="366">
        <v>17598305</v>
      </c>
      <c r="F78" t="s">
        <v>1327</v>
      </c>
    </row>
    <row r="79" spans="3:6" x14ac:dyDescent="0.45">
      <c r="C79" t="s">
        <v>1405</v>
      </c>
      <c r="D79" s="366">
        <v>16877786</v>
      </c>
      <c r="F79" t="s">
        <v>1327</v>
      </c>
    </row>
    <row r="80" spans="3:6" x14ac:dyDescent="0.45">
      <c r="C80" t="s">
        <v>1406</v>
      </c>
      <c r="D80" s="366">
        <v>16533682</v>
      </c>
      <c r="F80" t="s">
        <v>1327</v>
      </c>
    </row>
    <row r="81" spans="3:6" x14ac:dyDescent="0.45">
      <c r="C81" t="s">
        <v>1407</v>
      </c>
      <c r="D81" s="366">
        <v>14065942</v>
      </c>
      <c r="F81" t="s">
        <v>1327</v>
      </c>
    </row>
    <row r="82" spans="3:6" x14ac:dyDescent="0.45">
      <c r="C82" t="s">
        <v>1408</v>
      </c>
      <c r="D82" s="366">
        <v>13975894</v>
      </c>
      <c r="F82" t="s">
        <v>1327</v>
      </c>
    </row>
    <row r="83" spans="3:6" x14ac:dyDescent="0.45">
      <c r="C83" t="s">
        <v>1409</v>
      </c>
      <c r="D83" s="366">
        <v>13577573</v>
      </c>
      <c r="F83" t="s">
        <v>1327</v>
      </c>
    </row>
    <row r="84" spans="3:6" x14ac:dyDescent="0.45">
      <c r="C84" t="s">
        <v>1410</v>
      </c>
      <c r="D84" s="366">
        <v>13108008</v>
      </c>
      <c r="F84" t="s">
        <v>1327</v>
      </c>
    </row>
    <row r="85" spans="3:6" x14ac:dyDescent="0.45">
      <c r="C85" t="s">
        <v>1411</v>
      </c>
      <c r="D85" s="366">
        <v>12417058</v>
      </c>
      <c r="F85" t="s">
        <v>1327</v>
      </c>
    </row>
    <row r="86" spans="3:6" x14ac:dyDescent="0.45">
      <c r="C86" t="s">
        <v>1412</v>
      </c>
      <c r="D86" s="366">
        <v>12321531</v>
      </c>
      <c r="F86" t="s">
        <v>1327</v>
      </c>
    </row>
    <row r="87" spans="3:6" x14ac:dyDescent="0.45">
      <c r="C87" t="s">
        <v>1413</v>
      </c>
      <c r="D87" s="366">
        <v>11671837</v>
      </c>
      <c r="F87" t="s">
        <v>1327</v>
      </c>
    </row>
    <row r="88" spans="3:6" x14ac:dyDescent="0.45">
      <c r="C88" t="s">
        <v>1414</v>
      </c>
      <c r="D88" s="366">
        <v>11675555</v>
      </c>
      <c r="F88" t="s">
        <v>1327</v>
      </c>
    </row>
    <row r="89" spans="3:6" x14ac:dyDescent="0.45">
      <c r="C89" t="s">
        <v>1415</v>
      </c>
      <c r="D89" s="366">
        <v>11320586</v>
      </c>
      <c r="F89" t="s">
        <v>1327</v>
      </c>
    </row>
    <row r="90" spans="3:6" x14ac:dyDescent="0.45">
      <c r="C90" t="s">
        <v>1416</v>
      </c>
      <c r="D90" s="366">
        <v>11295336</v>
      </c>
      <c r="F90" t="s">
        <v>1327</v>
      </c>
    </row>
    <row r="91" spans="3:6" x14ac:dyDescent="0.45">
      <c r="C91" t="s">
        <v>1417</v>
      </c>
      <c r="D91" s="366">
        <v>11201506</v>
      </c>
      <c r="F91" t="s">
        <v>1327</v>
      </c>
    </row>
    <row r="92" spans="3:6" x14ac:dyDescent="0.45">
      <c r="C92" t="s">
        <v>1418</v>
      </c>
      <c r="D92" s="366">
        <v>11020580</v>
      </c>
      <c r="F92" t="s">
        <v>1327</v>
      </c>
    </row>
    <row r="93" spans="3:6" x14ac:dyDescent="0.45">
      <c r="C93" t="s">
        <v>1419</v>
      </c>
      <c r="D93" s="366">
        <v>10588563</v>
      </c>
      <c r="F93" t="s">
        <v>1327</v>
      </c>
    </row>
    <row r="94" spans="3:6" x14ac:dyDescent="0.45">
      <c r="C94" t="s">
        <v>1420</v>
      </c>
      <c r="D94" s="366">
        <v>10531463</v>
      </c>
      <c r="F94" t="s">
        <v>1327</v>
      </c>
    </row>
    <row r="95" spans="3:6" x14ac:dyDescent="0.45">
      <c r="C95" t="s">
        <v>1421</v>
      </c>
      <c r="D95" s="366">
        <v>10491767</v>
      </c>
      <c r="F95" t="s">
        <v>1327</v>
      </c>
    </row>
    <row r="96" spans="3:6" x14ac:dyDescent="0.45">
      <c r="C96" t="s">
        <v>1422</v>
      </c>
      <c r="D96" s="366">
        <v>10392657</v>
      </c>
      <c r="F96" t="s">
        <v>1327</v>
      </c>
    </row>
    <row r="97" spans="3:6" x14ac:dyDescent="0.45">
      <c r="C97" t="s">
        <v>1423</v>
      </c>
      <c r="D97" s="366">
        <v>10355391</v>
      </c>
      <c r="F97" t="s">
        <v>1327</v>
      </c>
    </row>
    <row r="98" spans="3:6" x14ac:dyDescent="0.45">
      <c r="C98" t="s">
        <v>1424</v>
      </c>
      <c r="D98" s="366">
        <v>10260539</v>
      </c>
      <c r="F98" t="s">
        <v>1327</v>
      </c>
    </row>
    <row r="99" spans="3:6" x14ac:dyDescent="0.45">
      <c r="C99" t="s">
        <v>1425</v>
      </c>
      <c r="D99" s="366">
        <v>10257014</v>
      </c>
      <c r="F99" t="s">
        <v>1327</v>
      </c>
    </row>
    <row r="100" spans="3:6" x14ac:dyDescent="0.45">
      <c r="C100" t="s">
        <v>1426</v>
      </c>
      <c r="D100" s="366">
        <v>10223279</v>
      </c>
      <c r="F100" t="s">
        <v>1327</v>
      </c>
    </row>
    <row r="101" spans="3:6" x14ac:dyDescent="0.45">
      <c r="C101" t="s">
        <v>1427</v>
      </c>
      <c r="D101" s="366">
        <v>10072975</v>
      </c>
      <c r="F101" t="s">
        <v>1327</v>
      </c>
    </row>
    <row r="102" spans="3:6" x14ac:dyDescent="0.45">
      <c r="C102" t="s">
        <v>1428</v>
      </c>
      <c r="D102" s="366">
        <v>9488644</v>
      </c>
      <c r="F102" t="s">
        <v>1344</v>
      </c>
    </row>
    <row r="103" spans="3:6" x14ac:dyDescent="0.45">
      <c r="C103" t="s">
        <v>1429</v>
      </c>
      <c r="D103" s="366">
        <v>9514704</v>
      </c>
      <c r="F103" t="s">
        <v>1344</v>
      </c>
    </row>
    <row r="104" spans="3:6" x14ac:dyDescent="0.45">
      <c r="C104" t="s">
        <v>1430</v>
      </c>
      <c r="D104" s="366">
        <v>9123946</v>
      </c>
      <c r="F104" t="s">
        <v>1344</v>
      </c>
    </row>
    <row r="105" spans="3:6" x14ac:dyDescent="0.45">
      <c r="C105" t="s">
        <v>1431</v>
      </c>
      <c r="D105" s="366">
        <v>8977350</v>
      </c>
      <c r="F105" t="s">
        <v>1346</v>
      </c>
    </row>
    <row r="106" spans="3:6" x14ac:dyDescent="0.45">
      <c r="C106" t="s">
        <v>1432</v>
      </c>
      <c r="D106" s="366">
        <v>8951903</v>
      </c>
      <c r="F106" t="s">
        <v>1346</v>
      </c>
    </row>
    <row r="107" spans="3:6" x14ac:dyDescent="0.45">
      <c r="C107" t="s">
        <v>1433</v>
      </c>
      <c r="D107" s="366">
        <v>8775499</v>
      </c>
      <c r="F107" t="s">
        <v>1346</v>
      </c>
    </row>
    <row r="108" spans="3:6" x14ac:dyDescent="0.45">
      <c r="C108" t="s">
        <v>1434</v>
      </c>
      <c r="D108" s="366">
        <v>8721700</v>
      </c>
      <c r="F108" t="s">
        <v>1346</v>
      </c>
    </row>
    <row r="109" spans="3:6" x14ac:dyDescent="0.45">
      <c r="C109" t="s">
        <v>1435</v>
      </c>
      <c r="D109" s="366">
        <v>7594967</v>
      </c>
      <c r="F109" t="s">
        <v>1350</v>
      </c>
    </row>
    <row r="110" spans="3:6" x14ac:dyDescent="0.45">
      <c r="C110" t="s">
        <v>1436</v>
      </c>
      <c r="D110" s="366">
        <v>7489257</v>
      </c>
      <c r="F110" t="s">
        <v>1350</v>
      </c>
    </row>
    <row r="111" spans="3:6" x14ac:dyDescent="0.45">
      <c r="C111" t="s">
        <v>1437</v>
      </c>
      <c r="D111" s="366">
        <v>7172600</v>
      </c>
      <c r="F111" t="s">
        <v>1350</v>
      </c>
    </row>
    <row r="112" spans="3:6" x14ac:dyDescent="0.45">
      <c r="C112" t="s">
        <v>1438</v>
      </c>
      <c r="D112" s="366">
        <v>7009850</v>
      </c>
      <c r="F112" t="s">
        <v>1350</v>
      </c>
    </row>
    <row r="113" spans="3:6" x14ac:dyDescent="0.45">
      <c r="C113" t="s">
        <v>1439</v>
      </c>
      <c r="D113" s="366">
        <v>6860161</v>
      </c>
      <c r="F113" t="s">
        <v>1352</v>
      </c>
    </row>
    <row r="114" spans="3:6" x14ac:dyDescent="0.45">
      <c r="C114" t="s">
        <v>1440</v>
      </c>
      <c r="D114" s="366">
        <v>6829768</v>
      </c>
      <c r="F114" t="s">
        <v>1352</v>
      </c>
    </row>
    <row r="115" spans="3:6" x14ac:dyDescent="0.45">
      <c r="C115" t="s">
        <v>1441</v>
      </c>
      <c r="D115" s="366">
        <v>6696535</v>
      </c>
      <c r="F115" t="s">
        <v>1352</v>
      </c>
    </row>
    <row r="116" spans="3:6" x14ac:dyDescent="0.45">
      <c r="C116" t="s">
        <v>1442</v>
      </c>
      <c r="D116" s="366">
        <v>6719473</v>
      </c>
      <c r="F116" t="s">
        <v>1352</v>
      </c>
    </row>
    <row r="117" spans="3:6" x14ac:dyDescent="0.45">
      <c r="C117" t="s">
        <v>1443</v>
      </c>
      <c r="D117" s="366">
        <v>6485521</v>
      </c>
      <c r="F117" t="s">
        <v>1352</v>
      </c>
    </row>
    <row r="118" spans="3:6" x14ac:dyDescent="0.45">
      <c r="C118" t="s">
        <v>1444</v>
      </c>
      <c r="D118" s="366">
        <v>6353182</v>
      </c>
      <c r="F118" t="s">
        <v>1352</v>
      </c>
    </row>
    <row r="119" spans="3:6" x14ac:dyDescent="0.45">
      <c r="C119" t="s">
        <v>1445</v>
      </c>
      <c r="D119" s="366">
        <v>6056295</v>
      </c>
      <c r="F119" t="s">
        <v>1352</v>
      </c>
    </row>
    <row r="120" spans="3:6" x14ac:dyDescent="0.45">
      <c r="C120" t="s">
        <v>1446</v>
      </c>
      <c r="D120" s="366">
        <v>6000609</v>
      </c>
      <c r="F120" t="s">
        <v>1352</v>
      </c>
    </row>
    <row r="121" spans="3:6" x14ac:dyDescent="0.45">
      <c r="C121" t="s">
        <v>1447</v>
      </c>
      <c r="D121" s="366">
        <v>5900328</v>
      </c>
      <c r="F121" t="s">
        <v>1356</v>
      </c>
    </row>
    <row r="122" spans="3:6" x14ac:dyDescent="0.45">
      <c r="C122" t="s">
        <v>1448</v>
      </c>
      <c r="D122" s="366">
        <v>5834011</v>
      </c>
      <c r="F122" t="s">
        <v>1356</v>
      </c>
    </row>
    <row r="123" spans="3:6" x14ac:dyDescent="0.45">
      <c r="C123" t="s">
        <v>1449</v>
      </c>
      <c r="D123" s="366">
        <v>5679980</v>
      </c>
      <c r="F123" t="s">
        <v>1356</v>
      </c>
    </row>
    <row r="124" spans="3:6" x14ac:dyDescent="0.45">
      <c r="C124" t="s">
        <v>1450</v>
      </c>
      <c r="D124" s="366">
        <v>5544299</v>
      </c>
      <c r="F124" t="s">
        <v>1356</v>
      </c>
    </row>
    <row r="125" spans="3:6" x14ac:dyDescent="0.45">
      <c r="C125" t="s">
        <v>1451</v>
      </c>
      <c r="D125" s="366">
        <v>5459070</v>
      </c>
      <c r="F125" t="s">
        <v>1356</v>
      </c>
    </row>
    <row r="126" spans="3:6" x14ac:dyDescent="0.45">
      <c r="C126" t="s">
        <v>1452</v>
      </c>
      <c r="D126" s="366">
        <v>5374860</v>
      </c>
      <c r="F126" t="s">
        <v>1356</v>
      </c>
    </row>
    <row r="127" spans="3:6" x14ac:dyDescent="0.45">
      <c r="C127" t="s">
        <v>1453</v>
      </c>
      <c r="D127" s="366">
        <v>5325361</v>
      </c>
      <c r="F127" t="s">
        <v>1356</v>
      </c>
    </row>
    <row r="128" spans="3:6" x14ac:dyDescent="0.45">
      <c r="C128" t="s">
        <v>1454</v>
      </c>
      <c r="D128" s="366">
        <v>5406856</v>
      </c>
      <c r="F128" t="s">
        <v>1356</v>
      </c>
    </row>
    <row r="129" spans="3:6" x14ac:dyDescent="0.45">
      <c r="C129" t="s">
        <v>1455</v>
      </c>
      <c r="D129" s="366">
        <v>5212810</v>
      </c>
      <c r="F129" t="s">
        <v>1356</v>
      </c>
    </row>
    <row r="130" spans="3:6" x14ac:dyDescent="0.45">
      <c r="C130" t="s">
        <v>1456</v>
      </c>
      <c r="D130" s="366">
        <v>5199236</v>
      </c>
      <c r="F130" t="s">
        <v>1356</v>
      </c>
    </row>
    <row r="131" spans="3:6" x14ac:dyDescent="0.45">
      <c r="C131" t="s">
        <v>1457</v>
      </c>
      <c r="D131" s="366">
        <v>5043998</v>
      </c>
      <c r="F131" t="s">
        <v>1356</v>
      </c>
    </row>
    <row r="132" spans="3:6" x14ac:dyDescent="0.45">
      <c r="C132" t="s">
        <v>1458</v>
      </c>
      <c r="D132" s="366">
        <v>4814768</v>
      </c>
      <c r="F132" t="s">
        <v>1362</v>
      </c>
    </row>
    <row r="133" spans="3:6" x14ac:dyDescent="0.45">
      <c r="C133" t="s">
        <v>1459</v>
      </c>
      <c r="D133" s="366">
        <v>4618509</v>
      </c>
      <c r="F133" t="s">
        <v>1362</v>
      </c>
    </row>
    <row r="134" spans="3:6" x14ac:dyDescent="0.45">
      <c r="C134" t="s">
        <v>1460</v>
      </c>
      <c r="D134" s="366">
        <v>4445740</v>
      </c>
      <c r="F134" t="s">
        <v>1362</v>
      </c>
    </row>
    <row r="135" spans="3:6" x14ac:dyDescent="0.45">
      <c r="C135" t="s">
        <v>1461</v>
      </c>
      <c r="D135" s="366">
        <v>4294818</v>
      </c>
      <c r="F135" t="s">
        <v>1362</v>
      </c>
    </row>
    <row r="136" spans="3:6" x14ac:dyDescent="0.45">
      <c r="C136" t="s">
        <v>1462</v>
      </c>
      <c r="D136" s="366">
        <v>4016850</v>
      </c>
      <c r="F136" t="s">
        <v>1362</v>
      </c>
    </row>
    <row r="137" spans="3:6" x14ac:dyDescent="0.45">
      <c r="C137" t="s">
        <v>1463</v>
      </c>
      <c r="D137" s="366">
        <v>3724202</v>
      </c>
      <c r="F137" t="s">
        <v>1329</v>
      </c>
    </row>
    <row r="138" spans="3:6" x14ac:dyDescent="0.45">
      <c r="C138" t="s">
        <v>545</v>
      </c>
      <c r="D138" s="366">
        <v>3734163</v>
      </c>
      <c r="F138" t="s">
        <v>1329</v>
      </c>
    </row>
    <row r="139" spans="3:6" x14ac:dyDescent="0.45">
      <c r="C139" t="s">
        <v>1464</v>
      </c>
      <c r="D139" s="366">
        <v>3429515</v>
      </c>
      <c r="F139" t="s">
        <v>1329</v>
      </c>
    </row>
    <row r="140" spans="3:6" x14ac:dyDescent="0.45">
      <c r="C140" t="s">
        <v>1465</v>
      </c>
      <c r="D140" s="366">
        <v>3481800</v>
      </c>
      <c r="F140" t="s">
        <v>1329</v>
      </c>
    </row>
    <row r="141" spans="3:6" x14ac:dyDescent="0.45">
      <c r="C141" t="s">
        <v>1466</v>
      </c>
      <c r="D141" s="366">
        <v>3423108</v>
      </c>
      <c r="F141" t="s">
        <v>1329</v>
      </c>
    </row>
    <row r="142" spans="3:6" x14ac:dyDescent="0.45">
      <c r="C142" t="s">
        <v>1467</v>
      </c>
      <c r="D142" s="366">
        <v>3256786</v>
      </c>
      <c r="F142" t="s">
        <v>1329</v>
      </c>
    </row>
    <row r="143" spans="3:6" x14ac:dyDescent="0.45">
      <c r="C143" t="s">
        <v>1468</v>
      </c>
      <c r="D143" s="366">
        <v>3217904</v>
      </c>
      <c r="F143" t="s">
        <v>1329</v>
      </c>
    </row>
    <row r="144" spans="3:6" x14ac:dyDescent="0.45">
      <c r="C144" t="s">
        <v>1469</v>
      </c>
      <c r="D144" s="366">
        <v>2835967</v>
      </c>
      <c r="F144" t="s">
        <v>1331</v>
      </c>
    </row>
    <row r="145" spans="3:6" x14ac:dyDescent="0.45">
      <c r="C145" t="s">
        <v>1470</v>
      </c>
      <c r="D145" s="366">
        <v>2825544</v>
      </c>
      <c r="F145" t="s">
        <v>1331</v>
      </c>
    </row>
    <row r="146" spans="3:6" x14ac:dyDescent="0.45">
      <c r="C146" t="s">
        <v>1471</v>
      </c>
      <c r="D146" s="366">
        <v>2777970</v>
      </c>
      <c r="F146" t="s">
        <v>1331</v>
      </c>
    </row>
    <row r="147" spans="3:6" x14ac:dyDescent="0.45">
      <c r="C147" t="s">
        <v>1472</v>
      </c>
      <c r="D147" s="366">
        <v>2747293</v>
      </c>
      <c r="F147" t="s">
        <v>1331</v>
      </c>
    </row>
    <row r="148" spans="3:6" x14ac:dyDescent="0.45">
      <c r="C148" t="s">
        <v>1473</v>
      </c>
      <c r="D148" s="366">
        <v>2727761</v>
      </c>
      <c r="F148" t="s">
        <v>1331</v>
      </c>
    </row>
    <row r="149" spans="3:6" x14ac:dyDescent="0.45">
      <c r="C149" t="s">
        <v>1474</v>
      </c>
      <c r="D149" s="366">
        <v>2708158</v>
      </c>
      <c r="F149" t="s">
        <v>1331</v>
      </c>
    </row>
    <row r="150" spans="3:6" x14ac:dyDescent="0.45">
      <c r="C150" t="s">
        <v>1475</v>
      </c>
      <c r="D150" s="366">
        <v>2658886</v>
      </c>
      <c r="F150" t="s">
        <v>1331</v>
      </c>
    </row>
    <row r="151" spans="3:6" x14ac:dyDescent="0.45">
      <c r="C151" t="s">
        <v>1476</v>
      </c>
      <c r="D151" s="366">
        <v>2590058</v>
      </c>
      <c r="F151" t="s">
        <v>1331</v>
      </c>
    </row>
    <row r="152" spans="3:6" x14ac:dyDescent="0.45">
      <c r="C152" t="s">
        <v>1477</v>
      </c>
      <c r="D152" s="366">
        <v>2418924</v>
      </c>
      <c r="F152" t="s">
        <v>1331</v>
      </c>
    </row>
    <row r="153" spans="3:6" x14ac:dyDescent="0.45">
      <c r="C153" t="s">
        <v>1478</v>
      </c>
      <c r="D153" s="366">
        <v>2320909</v>
      </c>
      <c r="F153" t="s">
        <v>1331</v>
      </c>
    </row>
    <row r="154" spans="3:6" x14ac:dyDescent="0.45">
      <c r="C154" t="s">
        <v>1479</v>
      </c>
      <c r="D154" s="366">
        <v>2134376</v>
      </c>
      <c r="F154" t="s">
        <v>1331</v>
      </c>
    </row>
    <row r="155" spans="3:6" x14ac:dyDescent="0.45">
      <c r="C155" t="s">
        <v>1480</v>
      </c>
      <c r="D155" s="366">
        <v>2119675</v>
      </c>
      <c r="F155" t="s">
        <v>1331</v>
      </c>
    </row>
    <row r="156" spans="3:6" x14ac:dyDescent="0.45">
      <c r="C156" t="s">
        <v>1481</v>
      </c>
      <c r="D156" s="366">
        <v>2088031</v>
      </c>
      <c r="F156" t="s">
        <v>1331</v>
      </c>
    </row>
    <row r="157" spans="3:6" x14ac:dyDescent="0.45">
      <c r="C157" t="s">
        <v>1482</v>
      </c>
      <c r="D157" s="366">
        <v>1837268</v>
      </c>
      <c r="F157" t="s">
        <v>1327</v>
      </c>
    </row>
    <row r="158" spans="3:6" x14ac:dyDescent="0.45">
      <c r="C158" t="s">
        <v>1483</v>
      </c>
      <c r="D158" s="366">
        <v>1699381</v>
      </c>
      <c r="F158" t="s">
        <v>1327</v>
      </c>
    </row>
    <row r="159" spans="3:6" x14ac:dyDescent="0.45">
      <c r="C159" t="s">
        <v>1484</v>
      </c>
      <c r="D159" s="366">
        <v>1533761</v>
      </c>
      <c r="F159" t="s">
        <v>1327</v>
      </c>
    </row>
    <row r="160" spans="3:6" x14ac:dyDescent="0.45">
      <c r="C160" t="s">
        <v>1485</v>
      </c>
      <c r="D160" s="366">
        <v>1480804</v>
      </c>
      <c r="F160" t="s">
        <v>1327</v>
      </c>
    </row>
    <row r="161" spans="3:6" x14ac:dyDescent="0.45">
      <c r="C161" t="s">
        <v>1486</v>
      </c>
      <c r="D161" s="366">
        <v>1353539</v>
      </c>
      <c r="F161" t="s">
        <v>1327</v>
      </c>
    </row>
    <row r="162" spans="3:6" x14ac:dyDescent="0.45">
      <c r="C162" t="s">
        <v>1487</v>
      </c>
      <c r="D162" s="366">
        <v>1323941</v>
      </c>
      <c r="F162" t="s">
        <v>1327</v>
      </c>
    </row>
    <row r="163" spans="3:6" x14ac:dyDescent="0.45">
      <c r="C163" t="s">
        <v>1488</v>
      </c>
      <c r="D163" s="366">
        <v>1300557</v>
      </c>
      <c r="F163" t="s">
        <v>1327</v>
      </c>
    </row>
    <row r="164" spans="3:6" x14ac:dyDescent="0.45">
      <c r="C164" t="s">
        <v>1489</v>
      </c>
      <c r="D164" s="366">
        <v>1256610</v>
      </c>
      <c r="F164" t="s">
        <v>1327</v>
      </c>
    </row>
    <row r="165" spans="3:6" x14ac:dyDescent="0.45">
      <c r="C165" t="s">
        <v>1490</v>
      </c>
      <c r="D165" s="366">
        <v>1207294</v>
      </c>
      <c r="F165" t="s">
        <v>1327</v>
      </c>
    </row>
    <row r="166" spans="3:6" x14ac:dyDescent="0.45">
      <c r="C166" t="s">
        <v>1491</v>
      </c>
      <c r="D166" s="366">
        <v>1130574</v>
      </c>
      <c r="F166" t="s">
        <v>1327</v>
      </c>
    </row>
    <row r="167" spans="3:6" x14ac:dyDescent="0.45">
      <c r="C167" t="s">
        <v>1492</v>
      </c>
      <c r="D167" s="366">
        <v>979444</v>
      </c>
      <c r="F167" t="s">
        <v>1344</v>
      </c>
    </row>
    <row r="168" spans="3:6" x14ac:dyDescent="0.45">
      <c r="C168" t="s">
        <v>1493</v>
      </c>
      <c r="D168" s="366">
        <v>934023</v>
      </c>
      <c r="F168" t="s">
        <v>1344</v>
      </c>
    </row>
    <row r="169" spans="3:6" x14ac:dyDescent="0.45">
      <c r="C169" t="s">
        <v>1494</v>
      </c>
      <c r="D169" s="366">
        <v>846194</v>
      </c>
      <c r="F169" t="s">
        <v>1346</v>
      </c>
    </row>
    <row r="170" spans="3:6" x14ac:dyDescent="0.45">
      <c r="C170" t="s">
        <v>1495</v>
      </c>
      <c r="D170" s="366">
        <v>811482</v>
      </c>
      <c r="F170" t="s">
        <v>1346</v>
      </c>
    </row>
    <row r="171" spans="3:6" x14ac:dyDescent="0.45">
      <c r="C171" t="s">
        <v>1496</v>
      </c>
      <c r="D171" s="366">
        <v>785072</v>
      </c>
      <c r="F171" t="s">
        <v>1350</v>
      </c>
    </row>
    <row r="172" spans="3:6" x14ac:dyDescent="0.45">
      <c r="C172" t="s">
        <v>1497</v>
      </c>
      <c r="D172" s="366">
        <v>734543</v>
      </c>
      <c r="F172" t="s">
        <v>1350</v>
      </c>
    </row>
    <row r="173" spans="3:6" x14ac:dyDescent="0.45">
      <c r="C173" t="s">
        <v>1498</v>
      </c>
      <c r="D173" s="366">
        <v>652416</v>
      </c>
      <c r="F173" t="s">
        <v>1352</v>
      </c>
    </row>
    <row r="174" spans="3:6" x14ac:dyDescent="0.45">
      <c r="C174" t="s">
        <v>1499</v>
      </c>
      <c r="D174" s="366">
        <v>626485</v>
      </c>
      <c r="F174" t="s">
        <v>1352</v>
      </c>
    </row>
    <row r="175" spans="3:6" x14ac:dyDescent="0.45">
      <c r="C175" t="s">
        <v>1500</v>
      </c>
      <c r="D175" s="366">
        <v>620884</v>
      </c>
      <c r="F175" t="s">
        <v>1352</v>
      </c>
    </row>
    <row r="176" spans="3:6" x14ac:dyDescent="0.45">
      <c r="C176" t="s">
        <v>1501</v>
      </c>
      <c r="D176" s="366">
        <v>596330</v>
      </c>
      <c r="F176" t="s">
        <v>1356</v>
      </c>
    </row>
    <row r="177" spans="3:6" x14ac:dyDescent="0.45">
      <c r="C177" t="s">
        <v>1502</v>
      </c>
      <c r="D177" s="366">
        <v>582554</v>
      </c>
      <c r="F177" t="s">
        <v>1356</v>
      </c>
    </row>
    <row r="178" spans="3:6" x14ac:dyDescent="0.45">
      <c r="C178" t="s">
        <v>1503</v>
      </c>
      <c r="D178" s="366">
        <v>533888</v>
      </c>
      <c r="F178" t="s">
        <v>1356</v>
      </c>
    </row>
    <row r="179" spans="3:6" x14ac:dyDescent="0.45">
      <c r="C179" t="s">
        <v>1504</v>
      </c>
      <c r="D179" s="366">
        <v>522197</v>
      </c>
      <c r="F179" t="s">
        <v>1356</v>
      </c>
    </row>
    <row r="180" spans="3:6" x14ac:dyDescent="0.45">
      <c r="C180" t="s">
        <v>1505</v>
      </c>
      <c r="D180" s="366">
        <v>451348</v>
      </c>
      <c r="F180" t="s">
        <v>1362</v>
      </c>
    </row>
    <row r="181" spans="3:6" x14ac:dyDescent="0.45">
      <c r="C181" t="s">
        <v>1506</v>
      </c>
      <c r="D181" s="366">
        <v>411447</v>
      </c>
      <c r="F181" t="s">
        <v>1362</v>
      </c>
    </row>
    <row r="182" spans="3:6" x14ac:dyDescent="0.45">
      <c r="C182" t="s">
        <v>1507</v>
      </c>
      <c r="D182" s="366">
        <v>408473</v>
      </c>
      <c r="F182" t="s">
        <v>1362</v>
      </c>
    </row>
    <row r="183" spans="3:6" x14ac:dyDescent="0.45">
      <c r="C183" t="s">
        <v>1508</v>
      </c>
      <c r="D183" s="366">
        <v>395839</v>
      </c>
      <c r="F183" t="s">
        <v>1329</v>
      </c>
    </row>
    <row r="184" spans="3:6" x14ac:dyDescent="0.45">
      <c r="C184" t="s">
        <v>1509</v>
      </c>
      <c r="D184" s="366">
        <v>374142</v>
      </c>
      <c r="F184" t="s">
        <v>1329</v>
      </c>
    </row>
    <row r="185" spans="3:6" x14ac:dyDescent="0.45">
      <c r="C185" t="s">
        <v>1510</v>
      </c>
      <c r="D185" s="366">
        <v>366981</v>
      </c>
      <c r="F185" t="s">
        <v>1329</v>
      </c>
    </row>
    <row r="186" spans="3:6" x14ac:dyDescent="0.45">
      <c r="C186" t="s">
        <v>1511</v>
      </c>
      <c r="D186" s="366">
        <v>332467</v>
      </c>
      <c r="F186" t="s">
        <v>1329</v>
      </c>
    </row>
    <row r="187" spans="3:6" x14ac:dyDescent="0.45">
      <c r="C187" t="s">
        <v>1512</v>
      </c>
      <c r="D187" s="366">
        <v>332154</v>
      </c>
      <c r="F187" t="s">
        <v>1329</v>
      </c>
    </row>
    <row r="188" spans="3:6" x14ac:dyDescent="0.45">
      <c r="C188" t="s">
        <v>1513</v>
      </c>
      <c r="D188" s="366">
        <v>309803</v>
      </c>
      <c r="F188" t="s">
        <v>1329</v>
      </c>
    </row>
    <row r="189" spans="3:6" x14ac:dyDescent="0.45">
      <c r="C189" t="s">
        <v>1514</v>
      </c>
      <c r="D189" s="366">
        <v>281995</v>
      </c>
      <c r="F189" t="s">
        <v>1331</v>
      </c>
    </row>
    <row r="190" spans="3:6" x14ac:dyDescent="0.45">
      <c r="C190" t="s">
        <v>1515</v>
      </c>
      <c r="D190" s="366">
        <v>230680</v>
      </c>
      <c r="F190" t="s">
        <v>1331</v>
      </c>
    </row>
    <row r="191" spans="3:6" x14ac:dyDescent="0.45">
      <c r="C191" t="s">
        <v>1516</v>
      </c>
      <c r="D191" s="366">
        <v>224505</v>
      </c>
      <c r="F191" t="s">
        <v>1331</v>
      </c>
    </row>
    <row r="192" spans="3:6" x14ac:dyDescent="0.45">
      <c r="C192" t="s">
        <v>1517</v>
      </c>
      <c r="D192" s="366">
        <v>180251</v>
      </c>
      <c r="F192" t="s">
        <v>1327</v>
      </c>
    </row>
    <row r="193" spans="3:6" x14ac:dyDescent="0.45">
      <c r="C193" t="s">
        <v>1518</v>
      </c>
      <c r="D193" s="366">
        <v>132339</v>
      </c>
      <c r="F193" t="s">
        <v>1327</v>
      </c>
    </row>
    <row r="194" spans="3:6" x14ac:dyDescent="0.45">
      <c r="C194" t="s">
        <v>1519</v>
      </c>
      <c r="D194" s="366">
        <v>126183</v>
      </c>
      <c r="F194" t="s">
        <v>1327</v>
      </c>
    </row>
    <row r="195" spans="3:6" x14ac:dyDescent="0.45">
      <c r="C195" t="s">
        <v>1520</v>
      </c>
      <c r="D195" s="366">
        <v>115224</v>
      </c>
      <c r="F195" t="s">
        <v>1327</v>
      </c>
    </row>
    <row r="196" spans="3:6" x14ac:dyDescent="0.45">
      <c r="C196" t="s">
        <v>1521</v>
      </c>
      <c r="D196" s="366">
        <v>107773</v>
      </c>
      <c r="F196" t="s">
        <v>1327</v>
      </c>
    </row>
    <row r="197" spans="3:6" x14ac:dyDescent="0.45">
      <c r="C197" t="s">
        <v>1522</v>
      </c>
      <c r="D197" s="366">
        <v>107660</v>
      </c>
      <c r="F197" t="s">
        <v>1327</v>
      </c>
    </row>
    <row r="198" spans="3:6" x14ac:dyDescent="0.45">
      <c r="C198" t="s">
        <v>1523</v>
      </c>
      <c r="D198" s="366">
        <v>103698</v>
      </c>
      <c r="F198" t="s">
        <v>1327</v>
      </c>
    </row>
    <row r="199" spans="3:6" x14ac:dyDescent="0.45">
      <c r="C199" t="s">
        <v>1524</v>
      </c>
      <c r="D199" s="366">
        <v>94298</v>
      </c>
      <c r="F199" t="s">
        <v>1344</v>
      </c>
    </row>
    <row r="200" spans="3:6" x14ac:dyDescent="0.45">
      <c r="C200" t="s">
        <v>1525</v>
      </c>
      <c r="D200" s="366">
        <v>80088</v>
      </c>
      <c r="F200" t="s">
        <v>1346</v>
      </c>
    </row>
    <row r="201" spans="3:6" x14ac:dyDescent="0.45">
      <c r="C201" t="s">
        <v>1526</v>
      </c>
      <c r="D201" s="366">
        <v>73040</v>
      </c>
      <c r="F201" t="s">
        <v>1350</v>
      </c>
    </row>
    <row r="202" spans="3:6" x14ac:dyDescent="0.45">
      <c r="C202" t="s">
        <v>1527</v>
      </c>
      <c r="D202" s="366">
        <v>56643</v>
      </c>
      <c r="F202" t="s">
        <v>1356</v>
      </c>
    </row>
    <row r="203" spans="3:6" x14ac:dyDescent="0.45">
      <c r="C203" t="s">
        <v>1528</v>
      </c>
      <c r="D203" s="366">
        <v>47755</v>
      </c>
      <c r="F203" t="s">
        <v>1362</v>
      </c>
    </row>
    <row r="204" spans="3:6" x14ac:dyDescent="0.45">
      <c r="C204" t="s">
        <v>1529</v>
      </c>
      <c r="D204" s="366">
        <v>41996</v>
      </c>
      <c r="F204" t="s">
        <v>1362</v>
      </c>
    </row>
    <row r="205" spans="3:6" x14ac:dyDescent="0.45">
      <c r="C205" t="s">
        <v>1530</v>
      </c>
      <c r="D205" s="366">
        <v>39584</v>
      </c>
      <c r="F205" t="s">
        <v>1329</v>
      </c>
    </row>
    <row r="206" spans="3:6" x14ac:dyDescent="0.45">
      <c r="C206" t="s">
        <v>1531</v>
      </c>
      <c r="D206" s="366">
        <v>36297</v>
      </c>
      <c r="F206" t="s">
        <v>1329</v>
      </c>
    </row>
    <row r="207" spans="3:6" x14ac:dyDescent="0.45">
      <c r="C207" t="s">
        <v>1532</v>
      </c>
      <c r="D207" s="366">
        <v>33642</v>
      </c>
      <c r="F207" t="s">
        <v>1329</v>
      </c>
    </row>
    <row r="208" spans="3:6" x14ac:dyDescent="0.45">
      <c r="C208" t="s">
        <v>1533</v>
      </c>
      <c r="D208" s="366">
        <v>18058</v>
      </c>
      <c r="F208" t="s">
        <v>1327</v>
      </c>
    </row>
    <row r="209" spans="3:6" x14ac:dyDescent="0.45">
      <c r="C209" t="s">
        <v>1534</v>
      </c>
      <c r="D209" s="366">
        <v>12780</v>
      </c>
      <c r="F209" t="s">
        <v>1327</v>
      </c>
    </row>
    <row r="210" spans="3:6" x14ac:dyDescent="0.45">
      <c r="C210" t="s">
        <v>1535</v>
      </c>
      <c r="D210" s="366">
        <v>11396</v>
      </c>
      <c r="F210" t="s">
        <v>1327</v>
      </c>
    </row>
    <row r="211" spans="3:6" x14ac:dyDescent="0.45">
      <c r="C211" t="s">
        <v>1536</v>
      </c>
      <c r="D211">
        <v>518</v>
      </c>
      <c r="F211" t="s">
        <v>1356</v>
      </c>
    </row>
  </sheetData>
  <pageMargins left="0.7" right="0.7" top="0.75" bottom="0.75" header="0.3" footer="0.3"/>
  <drawing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tabColor theme="4" tint="0.79998168889431442"/>
  </sheetPr>
  <dimension ref="A1:F18"/>
  <sheetViews>
    <sheetView workbookViewId="0">
      <selection activeCell="E25" sqref="E25"/>
    </sheetView>
  </sheetViews>
  <sheetFormatPr defaultRowHeight="14.25" x14ac:dyDescent="0.45"/>
  <cols>
    <col min="1" max="1" width="15.86328125" bestFit="1" customWidth="1"/>
    <col min="2" max="2" width="20.73046875" customWidth="1"/>
    <col min="3" max="4" width="15.73046875" customWidth="1"/>
    <col min="6" max="6" width="20.73046875" customWidth="1"/>
  </cols>
  <sheetData>
    <row r="1" spans="1:6" ht="23.25" x14ac:dyDescent="0.7">
      <c r="A1" s="1" t="s">
        <v>910</v>
      </c>
    </row>
    <row r="2" spans="1:6" s="3" customFormat="1" ht="15.75" x14ac:dyDescent="0.5">
      <c r="A2" s="4"/>
    </row>
    <row r="4" spans="1:6" ht="18" x14ac:dyDescent="0.55000000000000004">
      <c r="B4" s="268" t="s">
        <v>911</v>
      </c>
      <c r="C4" s="269" t="s">
        <v>912</v>
      </c>
      <c r="D4" s="270" t="s">
        <v>913</v>
      </c>
      <c r="E4" s="36"/>
      <c r="F4" s="271" t="s">
        <v>914</v>
      </c>
    </row>
    <row r="5" spans="1:6" ht="15.75" x14ac:dyDescent="0.5">
      <c r="B5" s="3" t="s">
        <v>915</v>
      </c>
      <c r="C5" s="3" t="str">
        <f t="shared" ref="C5:C18" si="0">LEFT(B5,FIND(" ",B5,1)-1)</f>
        <v>James</v>
      </c>
      <c r="D5" s="3" t="str">
        <f t="shared" ref="D5:D18" si="1">RIGHT(B5,LEN(B5)-FIND(" ",B5,1))</f>
        <v>Cameron</v>
      </c>
      <c r="E5" s="3"/>
      <c r="F5" s="3" t="str">
        <f t="shared" ref="F5:F18" si="2">D5&amp;", "&amp;C5</f>
        <v>Cameron, James</v>
      </c>
    </row>
    <row r="6" spans="1:6" ht="15.75" x14ac:dyDescent="0.5">
      <c r="B6" s="3" t="s">
        <v>916</v>
      </c>
      <c r="C6" s="3" t="str">
        <f t="shared" si="0"/>
        <v>Chuck</v>
      </c>
      <c r="D6" s="3" t="str">
        <f t="shared" si="1"/>
        <v>Wagon</v>
      </c>
      <c r="E6" s="3"/>
      <c r="F6" s="3" t="str">
        <f t="shared" si="2"/>
        <v>Wagon, Chuck</v>
      </c>
    </row>
    <row r="7" spans="1:6" ht="15.75" x14ac:dyDescent="0.5">
      <c r="B7" s="3" t="s">
        <v>917</v>
      </c>
      <c r="C7" s="3" t="str">
        <f t="shared" si="0"/>
        <v>Ridley</v>
      </c>
      <c r="D7" s="3" t="str">
        <f t="shared" si="1"/>
        <v>Scott</v>
      </c>
      <c r="E7" s="3"/>
      <c r="F7" s="3" t="str">
        <f t="shared" si="2"/>
        <v>Scott, Ridley</v>
      </c>
    </row>
    <row r="8" spans="1:6" ht="15.75" x14ac:dyDescent="0.5">
      <c r="B8" s="3" t="s">
        <v>918</v>
      </c>
      <c r="C8" s="3" t="str">
        <f t="shared" si="0"/>
        <v>Mike</v>
      </c>
      <c r="D8" s="3" t="str">
        <f t="shared" si="1"/>
        <v>Hammer</v>
      </c>
      <c r="E8" s="3"/>
      <c r="F8" s="3" t="str">
        <f t="shared" si="2"/>
        <v>Hammer, Mike</v>
      </c>
    </row>
    <row r="9" spans="1:6" ht="15.75" x14ac:dyDescent="0.5">
      <c r="B9" s="3" t="s">
        <v>919</v>
      </c>
      <c r="C9" s="3" t="str">
        <f t="shared" si="0"/>
        <v>Julia</v>
      </c>
      <c r="D9" s="3" t="str">
        <f t="shared" si="1"/>
        <v>Childs</v>
      </c>
      <c r="E9" s="3"/>
      <c r="F9" s="3" t="str">
        <f t="shared" si="2"/>
        <v>Childs, Julia</v>
      </c>
    </row>
    <row r="10" spans="1:6" ht="15.75" x14ac:dyDescent="0.5">
      <c r="B10" s="3" t="s">
        <v>922</v>
      </c>
      <c r="C10" s="3" t="str">
        <f t="shared" si="0"/>
        <v>Bill</v>
      </c>
      <c r="D10" s="3" t="str">
        <f t="shared" si="1"/>
        <v>Tocci</v>
      </c>
      <c r="E10" s="3"/>
      <c r="F10" s="3" t="str">
        <f t="shared" si="2"/>
        <v>Tocci, Bill</v>
      </c>
    </row>
    <row r="11" spans="1:6" ht="15.75" x14ac:dyDescent="0.5">
      <c r="B11" s="3" t="s">
        <v>923</v>
      </c>
      <c r="C11" s="3" t="str">
        <f t="shared" si="0"/>
        <v>Keith</v>
      </c>
      <c r="D11" s="3" t="str">
        <f t="shared" si="1"/>
        <v>Owens</v>
      </c>
      <c r="E11" s="3"/>
      <c r="F11" s="3" t="str">
        <f t="shared" si="2"/>
        <v>Owens, Keith</v>
      </c>
    </row>
    <row r="12" spans="1:6" ht="15.75" x14ac:dyDescent="0.5">
      <c r="B12" s="3" t="s">
        <v>924</v>
      </c>
      <c r="C12" s="3" t="str">
        <f t="shared" si="0"/>
        <v>Sally</v>
      </c>
      <c r="D12" s="3" t="str">
        <f t="shared" si="1"/>
        <v>Mayes</v>
      </c>
      <c r="E12" s="3"/>
      <c r="F12" s="3" t="str">
        <f t="shared" si="2"/>
        <v>Mayes, Sally</v>
      </c>
    </row>
    <row r="13" spans="1:6" ht="15.75" x14ac:dyDescent="0.5">
      <c r="B13" s="3" t="s">
        <v>925</v>
      </c>
      <c r="C13" s="3" t="str">
        <f t="shared" si="0"/>
        <v>Linda</v>
      </c>
      <c r="D13" s="3" t="str">
        <f t="shared" si="1"/>
        <v>Hamilton</v>
      </c>
      <c r="E13" s="3"/>
      <c r="F13" s="3" t="str">
        <f t="shared" si="2"/>
        <v>Hamilton, Linda</v>
      </c>
    </row>
    <row r="14" spans="1:6" ht="15.75" x14ac:dyDescent="0.5">
      <c r="B14" s="3" t="s">
        <v>927</v>
      </c>
      <c r="C14" s="3" t="str">
        <f t="shared" si="0"/>
        <v>Julie</v>
      </c>
      <c r="D14" s="3" t="str">
        <f t="shared" si="1"/>
        <v>Stockton</v>
      </c>
      <c r="E14" s="3"/>
      <c r="F14" s="3" t="str">
        <f t="shared" si="2"/>
        <v>Stockton, Julie</v>
      </c>
    </row>
    <row r="15" spans="1:6" ht="15.75" x14ac:dyDescent="0.5">
      <c r="B15" s="3" t="s">
        <v>928</v>
      </c>
      <c r="C15" s="3" t="str">
        <f t="shared" si="0"/>
        <v>Matt</v>
      </c>
      <c r="D15" s="3" t="str">
        <f t="shared" si="1"/>
        <v>Wells</v>
      </c>
      <c r="E15" s="3"/>
      <c r="F15" s="3" t="str">
        <f t="shared" si="2"/>
        <v>Wells, Matt</v>
      </c>
    </row>
    <row r="16" spans="1:6" ht="15.75" x14ac:dyDescent="0.5">
      <c r="B16" s="3" t="s">
        <v>929</v>
      </c>
      <c r="C16" s="3" t="str">
        <f t="shared" si="0"/>
        <v>Penny</v>
      </c>
      <c r="D16" s="3" t="str">
        <f t="shared" si="1"/>
        <v>Marshall</v>
      </c>
      <c r="E16" s="3"/>
      <c r="F16" s="3" t="str">
        <f t="shared" si="2"/>
        <v>Marshall, Penny</v>
      </c>
    </row>
    <row r="17" spans="2:6" ht="15.75" x14ac:dyDescent="0.5">
      <c r="B17" s="3" t="s">
        <v>930</v>
      </c>
      <c r="C17" s="3" t="str">
        <f t="shared" si="0"/>
        <v>Jack</v>
      </c>
      <c r="D17" s="3" t="str">
        <f t="shared" si="1"/>
        <v>McDaniel</v>
      </c>
      <c r="E17" s="3"/>
      <c r="F17" s="3" t="str">
        <f t="shared" si="2"/>
        <v>McDaniel, Jack</v>
      </c>
    </row>
    <row r="18" spans="2:6" ht="15.75" x14ac:dyDescent="0.5">
      <c r="B18" s="3" t="s">
        <v>931</v>
      </c>
      <c r="C18" s="3" t="str">
        <f t="shared" si="0"/>
        <v>Emily</v>
      </c>
      <c r="D18" s="3" t="str">
        <f t="shared" si="1"/>
        <v>Brown</v>
      </c>
      <c r="E18" s="3"/>
      <c r="F18" s="3" t="str">
        <f t="shared" si="2"/>
        <v>Brown, Emily</v>
      </c>
    </row>
  </sheetData>
  <pageMargins left="0.7" right="0.7" top="0.75" bottom="0.75" header="0.3" footer="0.3"/>
  <pageSetup orientation="portrait" horizontalDpi="4294967295" verticalDpi="4294967295"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tabColor theme="4" tint="0.79998168889431442"/>
  </sheetPr>
  <dimension ref="A1:E27"/>
  <sheetViews>
    <sheetView workbookViewId="0"/>
  </sheetViews>
  <sheetFormatPr defaultRowHeight="14.25" x14ac:dyDescent="0.45"/>
  <cols>
    <col min="1" max="1" width="27.73046875" customWidth="1"/>
    <col min="2" max="2" width="18.73046875" customWidth="1"/>
    <col min="3" max="3" width="26.73046875" customWidth="1"/>
    <col min="4" max="5" width="18.73046875" customWidth="1"/>
    <col min="257" max="257" width="27.73046875" customWidth="1"/>
    <col min="258" max="258" width="18.73046875" customWidth="1"/>
    <col min="259" max="259" width="26.73046875" customWidth="1"/>
    <col min="260" max="261" width="18.73046875" customWidth="1"/>
    <col min="513" max="513" width="27.73046875" customWidth="1"/>
    <col min="514" max="514" width="18.73046875" customWidth="1"/>
    <col min="515" max="515" width="26.73046875" customWidth="1"/>
    <col min="516" max="517" width="18.73046875" customWidth="1"/>
    <col min="769" max="769" width="27.73046875" customWidth="1"/>
    <col min="770" max="770" width="18.73046875" customWidth="1"/>
    <col min="771" max="771" width="26.73046875" customWidth="1"/>
    <col min="772" max="773" width="18.73046875" customWidth="1"/>
    <col min="1025" max="1025" width="27.73046875" customWidth="1"/>
    <col min="1026" max="1026" width="18.73046875" customWidth="1"/>
    <col min="1027" max="1027" width="26.73046875" customWidth="1"/>
    <col min="1028" max="1029" width="18.73046875" customWidth="1"/>
    <col min="1281" max="1281" width="27.73046875" customWidth="1"/>
    <col min="1282" max="1282" width="18.73046875" customWidth="1"/>
    <col min="1283" max="1283" width="26.73046875" customWidth="1"/>
    <col min="1284" max="1285" width="18.73046875" customWidth="1"/>
    <col min="1537" max="1537" width="27.73046875" customWidth="1"/>
    <col min="1538" max="1538" width="18.73046875" customWidth="1"/>
    <col min="1539" max="1539" width="26.73046875" customWidth="1"/>
    <col min="1540" max="1541" width="18.73046875" customWidth="1"/>
    <col min="1793" max="1793" width="27.73046875" customWidth="1"/>
    <col min="1794" max="1794" width="18.73046875" customWidth="1"/>
    <col min="1795" max="1795" width="26.73046875" customWidth="1"/>
    <col min="1796" max="1797" width="18.73046875" customWidth="1"/>
    <col min="2049" max="2049" width="27.73046875" customWidth="1"/>
    <col min="2050" max="2050" width="18.73046875" customWidth="1"/>
    <col min="2051" max="2051" width="26.73046875" customWidth="1"/>
    <col min="2052" max="2053" width="18.73046875" customWidth="1"/>
    <col min="2305" max="2305" width="27.73046875" customWidth="1"/>
    <col min="2306" max="2306" width="18.73046875" customWidth="1"/>
    <col min="2307" max="2307" width="26.73046875" customWidth="1"/>
    <col min="2308" max="2309" width="18.73046875" customWidth="1"/>
    <col min="2561" max="2561" width="27.73046875" customWidth="1"/>
    <col min="2562" max="2562" width="18.73046875" customWidth="1"/>
    <col min="2563" max="2563" width="26.73046875" customWidth="1"/>
    <col min="2564" max="2565" width="18.73046875" customWidth="1"/>
    <col min="2817" max="2817" width="27.73046875" customWidth="1"/>
    <col min="2818" max="2818" width="18.73046875" customWidth="1"/>
    <col min="2819" max="2819" width="26.73046875" customWidth="1"/>
    <col min="2820" max="2821" width="18.73046875" customWidth="1"/>
    <col min="3073" max="3073" width="27.73046875" customWidth="1"/>
    <col min="3074" max="3074" width="18.73046875" customWidth="1"/>
    <col min="3075" max="3075" width="26.73046875" customWidth="1"/>
    <col min="3076" max="3077" width="18.73046875" customWidth="1"/>
    <col min="3329" max="3329" width="27.73046875" customWidth="1"/>
    <col min="3330" max="3330" width="18.73046875" customWidth="1"/>
    <col min="3331" max="3331" width="26.73046875" customWidth="1"/>
    <col min="3332" max="3333" width="18.73046875" customWidth="1"/>
    <col min="3585" max="3585" width="27.73046875" customWidth="1"/>
    <col min="3586" max="3586" width="18.73046875" customWidth="1"/>
    <col min="3587" max="3587" width="26.73046875" customWidth="1"/>
    <col min="3588" max="3589" width="18.73046875" customWidth="1"/>
    <col min="3841" max="3841" width="27.73046875" customWidth="1"/>
    <col min="3842" max="3842" width="18.73046875" customWidth="1"/>
    <col min="3843" max="3843" width="26.73046875" customWidth="1"/>
    <col min="3844" max="3845" width="18.73046875" customWidth="1"/>
    <col min="4097" max="4097" width="27.73046875" customWidth="1"/>
    <col min="4098" max="4098" width="18.73046875" customWidth="1"/>
    <col min="4099" max="4099" width="26.73046875" customWidth="1"/>
    <col min="4100" max="4101" width="18.73046875" customWidth="1"/>
    <col min="4353" max="4353" width="27.73046875" customWidth="1"/>
    <col min="4354" max="4354" width="18.73046875" customWidth="1"/>
    <col min="4355" max="4355" width="26.73046875" customWidth="1"/>
    <col min="4356" max="4357" width="18.73046875" customWidth="1"/>
    <col min="4609" max="4609" width="27.73046875" customWidth="1"/>
    <col min="4610" max="4610" width="18.73046875" customWidth="1"/>
    <col min="4611" max="4611" width="26.73046875" customWidth="1"/>
    <col min="4612" max="4613" width="18.73046875" customWidth="1"/>
    <col min="4865" max="4865" width="27.73046875" customWidth="1"/>
    <col min="4866" max="4866" width="18.73046875" customWidth="1"/>
    <col min="4867" max="4867" width="26.73046875" customWidth="1"/>
    <col min="4868" max="4869" width="18.73046875" customWidth="1"/>
    <col min="5121" max="5121" width="27.73046875" customWidth="1"/>
    <col min="5122" max="5122" width="18.73046875" customWidth="1"/>
    <col min="5123" max="5123" width="26.73046875" customWidth="1"/>
    <col min="5124" max="5125" width="18.73046875" customWidth="1"/>
    <col min="5377" max="5377" width="27.73046875" customWidth="1"/>
    <col min="5378" max="5378" width="18.73046875" customWidth="1"/>
    <col min="5379" max="5379" width="26.73046875" customWidth="1"/>
    <col min="5380" max="5381" width="18.73046875" customWidth="1"/>
    <col min="5633" max="5633" width="27.73046875" customWidth="1"/>
    <col min="5634" max="5634" width="18.73046875" customWidth="1"/>
    <col min="5635" max="5635" width="26.73046875" customWidth="1"/>
    <col min="5636" max="5637" width="18.73046875" customWidth="1"/>
    <col min="5889" max="5889" width="27.73046875" customWidth="1"/>
    <col min="5890" max="5890" width="18.73046875" customWidth="1"/>
    <col min="5891" max="5891" width="26.73046875" customWidth="1"/>
    <col min="5892" max="5893" width="18.73046875" customWidth="1"/>
    <col min="6145" max="6145" width="27.73046875" customWidth="1"/>
    <col min="6146" max="6146" width="18.73046875" customWidth="1"/>
    <col min="6147" max="6147" width="26.73046875" customWidth="1"/>
    <col min="6148" max="6149" width="18.73046875" customWidth="1"/>
    <col min="6401" max="6401" width="27.73046875" customWidth="1"/>
    <col min="6402" max="6402" width="18.73046875" customWidth="1"/>
    <col min="6403" max="6403" width="26.73046875" customWidth="1"/>
    <col min="6404" max="6405" width="18.73046875" customWidth="1"/>
    <col min="6657" max="6657" width="27.73046875" customWidth="1"/>
    <col min="6658" max="6658" width="18.73046875" customWidth="1"/>
    <col min="6659" max="6659" width="26.73046875" customWidth="1"/>
    <col min="6660" max="6661" width="18.73046875" customWidth="1"/>
    <col min="6913" max="6913" width="27.73046875" customWidth="1"/>
    <col min="6914" max="6914" width="18.73046875" customWidth="1"/>
    <col min="6915" max="6915" width="26.73046875" customWidth="1"/>
    <col min="6916" max="6917" width="18.73046875" customWidth="1"/>
    <col min="7169" max="7169" width="27.73046875" customWidth="1"/>
    <col min="7170" max="7170" width="18.73046875" customWidth="1"/>
    <col min="7171" max="7171" width="26.73046875" customWidth="1"/>
    <col min="7172" max="7173" width="18.73046875" customWidth="1"/>
    <col min="7425" max="7425" width="27.73046875" customWidth="1"/>
    <col min="7426" max="7426" width="18.73046875" customWidth="1"/>
    <col min="7427" max="7427" width="26.73046875" customWidth="1"/>
    <col min="7428" max="7429" width="18.73046875" customWidth="1"/>
    <col min="7681" max="7681" width="27.73046875" customWidth="1"/>
    <col min="7682" max="7682" width="18.73046875" customWidth="1"/>
    <col min="7683" max="7683" width="26.73046875" customWidth="1"/>
    <col min="7684" max="7685" width="18.73046875" customWidth="1"/>
    <col min="7937" max="7937" width="27.73046875" customWidth="1"/>
    <col min="7938" max="7938" width="18.73046875" customWidth="1"/>
    <col min="7939" max="7939" width="26.73046875" customWidth="1"/>
    <col min="7940" max="7941" width="18.73046875" customWidth="1"/>
    <col min="8193" max="8193" width="27.73046875" customWidth="1"/>
    <col min="8194" max="8194" width="18.73046875" customWidth="1"/>
    <col min="8195" max="8195" width="26.73046875" customWidth="1"/>
    <col min="8196" max="8197" width="18.73046875" customWidth="1"/>
    <col min="8449" max="8449" width="27.73046875" customWidth="1"/>
    <col min="8450" max="8450" width="18.73046875" customWidth="1"/>
    <col min="8451" max="8451" width="26.73046875" customWidth="1"/>
    <col min="8452" max="8453" width="18.73046875" customWidth="1"/>
    <col min="8705" max="8705" width="27.73046875" customWidth="1"/>
    <col min="8706" max="8706" width="18.73046875" customWidth="1"/>
    <col min="8707" max="8707" width="26.73046875" customWidth="1"/>
    <col min="8708" max="8709" width="18.73046875" customWidth="1"/>
    <col min="8961" max="8961" width="27.73046875" customWidth="1"/>
    <col min="8962" max="8962" width="18.73046875" customWidth="1"/>
    <col min="8963" max="8963" width="26.73046875" customWidth="1"/>
    <col min="8964" max="8965" width="18.73046875" customWidth="1"/>
    <col min="9217" max="9217" width="27.73046875" customWidth="1"/>
    <col min="9218" max="9218" width="18.73046875" customWidth="1"/>
    <col min="9219" max="9219" width="26.73046875" customWidth="1"/>
    <col min="9220" max="9221" width="18.73046875" customWidth="1"/>
    <col min="9473" max="9473" width="27.73046875" customWidth="1"/>
    <col min="9474" max="9474" width="18.73046875" customWidth="1"/>
    <col min="9475" max="9475" width="26.73046875" customWidth="1"/>
    <col min="9476" max="9477" width="18.73046875" customWidth="1"/>
    <col min="9729" max="9729" width="27.73046875" customWidth="1"/>
    <col min="9730" max="9730" width="18.73046875" customWidth="1"/>
    <col min="9731" max="9731" width="26.73046875" customWidth="1"/>
    <col min="9732" max="9733" width="18.73046875" customWidth="1"/>
    <col min="9985" max="9985" width="27.73046875" customWidth="1"/>
    <col min="9986" max="9986" width="18.73046875" customWidth="1"/>
    <col min="9987" max="9987" width="26.73046875" customWidth="1"/>
    <col min="9988" max="9989" width="18.73046875" customWidth="1"/>
    <col min="10241" max="10241" width="27.73046875" customWidth="1"/>
    <col min="10242" max="10242" width="18.73046875" customWidth="1"/>
    <col min="10243" max="10243" width="26.73046875" customWidth="1"/>
    <col min="10244" max="10245" width="18.73046875" customWidth="1"/>
    <col min="10497" max="10497" width="27.73046875" customWidth="1"/>
    <col min="10498" max="10498" width="18.73046875" customWidth="1"/>
    <col min="10499" max="10499" width="26.73046875" customWidth="1"/>
    <col min="10500" max="10501" width="18.73046875" customWidth="1"/>
    <col min="10753" max="10753" width="27.73046875" customWidth="1"/>
    <col min="10754" max="10754" width="18.73046875" customWidth="1"/>
    <col min="10755" max="10755" width="26.73046875" customWidth="1"/>
    <col min="10756" max="10757" width="18.73046875" customWidth="1"/>
    <col min="11009" max="11009" width="27.73046875" customWidth="1"/>
    <col min="11010" max="11010" width="18.73046875" customWidth="1"/>
    <col min="11011" max="11011" width="26.73046875" customWidth="1"/>
    <col min="11012" max="11013" width="18.73046875" customWidth="1"/>
    <col min="11265" max="11265" width="27.73046875" customWidth="1"/>
    <col min="11266" max="11266" width="18.73046875" customWidth="1"/>
    <col min="11267" max="11267" width="26.73046875" customWidth="1"/>
    <col min="11268" max="11269" width="18.73046875" customWidth="1"/>
    <col min="11521" max="11521" width="27.73046875" customWidth="1"/>
    <col min="11522" max="11522" width="18.73046875" customWidth="1"/>
    <col min="11523" max="11523" width="26.73046875" customWidth="1"/>
    <col min="11524" max="11525" width="18.73046875" customWidth="1"/>
    <col min="11777" max="11777" width="27.73046875" customWidth="1"/>
    <col min="11778" max="11778" width="18.73046875" customWidth="1"/>
    <col min="11779" max="11779" width="26.73046875" customWidth="1"/>
    <col min="11780" max="11781" width="18.73046875" customWidth="1"/>
    <col min="12033" max="12033" width="27.73046875" customWidth="1"/>
    <col min="12034" max="12034" width="18.73046875" customWidth="1"/>
    <col min="12035" max="12035" width="26.73046875" customWidth="1"/>
    <col min="12036" max="12037" width="18.73046875" customWidth="1"/>
    <col min="12289" max="12289" width="27.73046875" customWidth="1"/>
    <col min="12290" max="12290" width="18.73046875" customWidth="1"/>
    <col min="12291" max="12291" width="26.73046875" customWidth="1"/>
    <col min="12292" max="12293" width="18.73046875" customWidth="1"/>
    <col min="12545" max="12545" width="27.73046875" customWidth="1"/>
    <col min="12546" max="12546" width="18.73046875" customWidth="1"/>
    <col min="12547" max="12547" width="26.73046875" customWidth="1"/>
    <col min="12548" max="12549" width="18.73046875" customWidth="1"/>
    <col min="12801" max="12801" width="27.73046875" customWidth="1"/>
    <col min="12802" max="12802" width="18.73046875" customWidth="1"/>
    <col min="12803" max="12803" width="26.73046875" customWidth="1"/>
    <col min="12804" max="12805" width="18.73046875" customWidth="1"/>
    <col min="13057" max="13057" width="27.73046875" customWidth="1"/>
    <col min="13058" max="13058" width="18.73046875" customWidth="1"/>
    <col min="13059" max="13059" width="26.73046875" customWidth="1"/>
    <col min="13060" max="13061" width="18.73046875" customWidth="1"/>
    <col min="13313" max="13313" width="27.73046875" customWidth="1"/>
    <col min="13314" max="13314" width="18.73046875" customWidth="1"/>
    <col min="13315" max="13315" width="26.73046875" customWidth="1"/>
    <col min="13316" max="13317" width="18.73046875" customWidth="1"/>
    <col min="13569" max="13569" width="27.73046875" customWidth="1"/>
    <col min="13570" max="13570" width="18.73046875" customWidth="1"/>
    <col min="13571" max="13571" width="26.73046875" customWidth="1"/>
    <col min="13572" max="13573" width="18.73046875" customWidth="1"/>
    <col min="13825" max="13825" width="27.73046875" customWidth="1"/>
    <col min="13826" max="13826" width="18.73046875" customWidth="1"/>
    <col min="13827" max="13827" width="26.73046875" customWidth="1"/>
    <col min="13828" max="13829" width="18.73046875" customWidth="1"/>
    <col min="14081" max="14081" width="27.73046875" customWidth="1"/>
    <col min="14082" max="14082" width="18.73046875" customWidth="1"/>
    <col min="14083" max="14083" width="26.73046875" customWidth="1"/>
    <col min="14084" max="14085" width="18.73046875" customWidth="1"/>
    <col min="14337" max="14337" width="27.73046875" customWidth="1"/>
    <col min="14338" max="14338" width="18.73046875" customWidth="1"/>
    <col min="14339" max="14339" width="26.73046875" customWidth="1"/>
    <col min="14340" max="14341" width="18.73046875" customWidth="1"/>
    <col min="14593" max="14593" width="27.73046875" customWidth="1"/>
    <col min="14594" max="14594" width="18.73046875" customWidth="1"/>
    <col min="14595" max="14595" width="26.73046875" customWidth="1"/>
    <col min="14596" max="14597" width="18.73046875" customWidth="1"/>
    <col min="14849" max="14849" width="27.73046875" customWidth="1"/>
    <col min="14850" max="14850" width="18.73046875" customWidth="1"/>
    <col min="14851" max="14851" width="26.73046875" customWidth="1"/>
    <col min="14852" max="14853" width="18.73046875" customWidth="1"/>
    <col min="15105" max="15105" width="27.73046875" customWidth="1"/>
    <col min="15106" max="15106" width="18.73046875" customWidth="1"/>
    <col min="15107" max="15107" width="26.73046875" customWidth="1"/>
    <col min="15108" max="15109" width="18.73046875" customWidth="1"/>
    <col min="15361" max="15361" width="27.73046875" customWidth="1"/>
    <col min="15362" max="15362" width="18.73046875" customWidth="1"/>
    <col min="15363" max="15363" width="26.73046875" customWidth="1"/>
    <col min="15364" max="15365" width="18.73046875" customWidth="1"/>
    <col min="15617" max="15617" width="27.73046875" customWidth="1"/>
    <col min="15618" max="15618" width="18.73046875" customWidth="1"/>
    <col min="15619" max="15619" width="26.73046875" customWidth="1"/>
    <col min="15620" max="15621" width="18.73046875" customWidth="1"/>
    <col min="15873" max="15873" width="27.73046875" customWidth="1"/>
    <col min="15874" max="15874" width="18.73046875" customWidth="1"/>
    <col min="15875" max="15875" width="26.73046875" customWidth="1"/>
    <col min="15876" max="15877" width="18.73046875" customWidth="1"/>
    <col min="16129" max="16129" width="27.73046875" customWidth="1"/>
    <col min="16130" max="16130" width="18.73046875" customWidth="1"/>
    <col min="16131" max="16131" width="26.73046875" customWidth="1"/>
    <col min="16132" max="16133" width="18.73046875" customWidth="1"/>
  </cols>
  <sheetData>
    <row r="1" spans="1:5" ht="23.25" x14ac:dyDescent="0.7">
      <c r="A1" s="180" t="s">
        <v>764</v>
      </c>
      <c r="D1" t="s">
        <v>731</v>
      </c>
      <c r="E1" s="139">
        <v>1.02</v>
      </c>
    </row>
    <row r="3" spans="1:5" x14ac:dyDescent="0.45">
      <c r="A3" s="148" t="s">
        <v>732</v>
      </c>
    </row>
    <row r="5" spans="1:5" x14ac:dyDescent="0.45">
      <c r="A5" s="141" t="s">
        <v>733</v>
      </c>
      <c r="B5" s="141" t="s">
        <v>734</v>
      </c>
      <c r="C5" s="141" t="s">
        <v>735</v>
      </c>
      <c r="D5" s="141"/>
      <c r="E5" s="141" t="s">
        <v>589</v>
      </c>
    </row>
    <row r="6" spans="1:5" x14ac:dyDescent="0.45">
      <c r="A6" s="90">
        <v>40313</v>
      </c>
      <c r="B6" s="88">
        <v>8000000</v>
      </c>
      <c r="C6" s="88">
        <v>80000</v>
      </c>
      <c r="D6" s="88"/>
      <c r="E6" s="88">
        <f>SUM(B6:D6)</f>
        <v>8080000</v>
      </c>
    </row>
    <row r="7" spans="1:5" ht="14.65" thickBot="1" x14ac:dyDescent="0.5">
      <c r="A7" s="90">
        <v>40527</v>
      </c>
      <c r="B7" s="88">
        <v>7000000</v>
      </c>
      <c r="C7" s="88">
        <v>120000</v>
      </c>
      <c r="D7" s="88"/>
      <c r="E7" s="88">
        <f>SUM(B7:D7)</f>
        <v>7120000</v>
      </c>
    </row>
    <row r="8" spans="1:5" x14ac:dyDescent="0.45">
      <c r="A8" s="142" t="s">
        <v>589</v>
      </c>
      <c r="B8" s="143">
        <f>SUM(B6:B7)</f>
        <v>15000000</v>
      </c>
      <c r="C8" s="143">
        <f>SUM(C6:C7)</f>
        <v>200000</v>
      </c>
      <c r="D8" s="142"/>
      <c r="E8" s="143">
        <f>SUM(E6:E7)</f>
        <v>15200000</v>
      </c>
    </row>
    <row r="9" spans="1:5" x14ac:dyDescent="0.45">
      <c r="A9" s="132"/>
      <c r="B9" s="133"/>
      <c r="C9" s="133"/>
      <c r="D9" s="132"/>
      <c r="E9" s="133"/>
    </row>
    <row r="11" spans="1:5" x14ac:dyDescent="0.45">
      <c r="A11" s="148" t="s">
        <v>736</v>
      </c>
    </row>
    <row r="13" spans="1:5" x14ac:dyDescent="0.45">
      <c r="A13" s="141" t="s">
        <v>737</v>
      </c>
      <c r="B13" s="141" t="s">
        <v>734</v>
      </c>
      <c r="C13" s="141" t="s">
        <v>738</v>
      </c>
      <c r="D13" s="141" t="s">
        <v>739</v>
      </c>
      <c r="E13" s="141" t="s">
        <v>740</v>
      </c>
    </row>
    <row r="14" spans="1:5" x14ac:dyDescent="0.45">
      <c r="A14" s="38" t="s">
        <v>741</v>
      </c>
      <c r="B14" s="88">
        <v>8000000</v>
      </c>
      <c r="C14" s="38" t="s">
        <v>742</v>
      </c>
      <c r="D14">
        <v>101.2726</v>
      </c>
      <c r="E14" s="88">
        <f>(B14*D14)/100</f>
        <v>8101808</v>
      </c>
    </row>
    <row r="15" spans="1:5" x14ac:dyDescent="0.45">
      <c r="A15" s="38" t="s">
        <v>743</v>
      </c>
      <c r="B15" s="88">
        <v>2000000</v>
      </c>
      <c r="C15" s="38" t="s">
        <v>744</v>
      </c>
      <c r="D15">
        <v>97.618880000000004</v>
      </c>
      <c r="E15" s="88">
        <f>(B15*D15)/100</f>
        <v>1952377.6</v>
      </c>
    </row>
    <row r="16" spans="1:5" ht="14.65" thickBot="1" x14ac:dyDescent="0.5">
      <c r="A16" s="38" t="s">
        <v>745</v>
      </c>
      <c r="B16" s="88">
        <v>5500000</v>
      </c>
      <c r="C16" s="38" t="s">
        <v>746</v>
      </c>
      <c r="D16">
        <v>102.2525</v>
      </c>
      <c r="E16" s="88">
        <f>(B16*D16)/100</f>
        <v>5623887.5</v>
      </c>
    </row>
    <row r="17" spans="1:5" x14ac:dyDescent="0.45">
      <c r="A17" s="142" t="s">
        <v>747</v>
      </c>
      <c r="B17" s="143">
        <f>SUM(B14:B16)</f>
        <v>15500000</v>
      </c>
      <c r="C17" s="142"/>
      <c r="D17" s="142"/>
      <c r="E17" s="143">
        <f>SUM(E14:E16)</f>
        <v>15678073.1</v>
      </c>
    </row>
    <row r="19" spans="1:5" x14ac:dyDescent="0.45">
      <c r="A19" s="132" t="s">
        <v>748</v>
      </c>
      <c r="B19" s="132"/>
      <c r="C19" s="132"/>
      <c r="D19" s="132"/>
      <c r="E19" s="133">
        <v>250000</v>
      </c>
    </row>
    <row r="20" spans="1:5" ht="14.65" thickBot="1" x14ac:dyDescent="0.5"/>
    <row r="21" spans="1:5" x14ac:dyDescent="0.45">
      <c r="A21" s="142" t="s">
        <v>749</v>
      </c>
      <c r="B21" s="144"/>
      <c r="C21" s="144"/>
      <c r="D21" s="144"/>
      <c r="E21" s="143">
        <f>SUM(E17:E20)</f>
        <v>15928073.1</v>
      </c>
    </row>
    <row r="23" spans="1:5" x14ac:dyDescent="0.45">
      <c r="A23" s="132" t="s">
        <v>750</v>
      </c>
      <c r="C23" s="145" t="str">
        <f>IF(E1&gt;E23,"Under-Collateralized","Collateralized")</f>
        <v>Collateralized</v>
      </c>
      <c r="E23" s="146">
        <f>(E21/E8)</f>
        <v>1.0478995460526315</v>
      </c>
    </row>
    <row r="24" spans="1:5" x14ac:dyDescent="0.45">
      <c r="A24" s="134" t="s">
        <v>751</v>
      </c>
    </row>
    <row r="25" spans="1:5" x14ac:dyDescent="0.45">
      <c r="D25" s="147"/>
    </row>
    <row r="27" spans="1:5" x14ac:dyDescent="0.45">
      <c r="A27" t="s">
        <v>752</v>
      </c>
    </row>
  </sheetData>
  <conditionalFormatting sqref="E23">
    <cfRule type="cellIs" dxfId="8" priority="1" operator="lessThan">
      <formula>$E$1</formula>
    </cfRule>
  </conditionalFormatting>
  <pageMargins left="0.7" right="0.7" top="0.75" bottom="0.75" header="0.3" footer="0.3"/>
  <pageSetup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tabColor theme="4" tint="0.79998168889431442"/>
  </sheetPr>
  <dimension ref="A1:H574"/>
  <sheetViews>
    <sheetView workbookViewId="0">
      <selection activeCell="H22" sqref="H22"/>
    </sheetView>
  </sheetViews>
  <sheetFormatPr defaultColWidth="34.3984375" defaultRowHeight="18.75" customHeight="1" outlineLevelRow="2" x14ac:dyDescent="0.45"/>
  <cols>
    <col min="1" max="6" width="18.73046875" customWidth="1"/>
    <col min="7" max="7" width="8.265625" customWidth="1"/>
    <col min="8" max="8" width="37.1328125" customWidth="1"/>
    <col min="257" max="257" width="16.265625" customWidth="1"/>
    <col min="258" max="258" width="23.1328125" customWidth="1"/>
    <col min="259" max="259" width="22.59765625" customWidth="1"/>
    <col min="260" max="260" width="20.1328125" customWidth="1"/>
    <col min="261" max="261" width="22.1328125" customWidth="1"/>
    <col min="262" max="262" width="26.59765625" customWidth="1"/>
    <col min="263" max="263" width="8.265625" customWidth="1"/>
    <col min="264" max="264" width="22.265625" customWidth="1"/>
    <col min="513" max="513" width="16.265625" customWidth="1"/>
    <col min="514" max="514" width="23.1328125" customWidth="1"/>
    <col min="515" max="515" width="22.59765625" customWidth="1"/>
    <col min="516" max="516" width="20.1328125" customWidth="1"/>
    <col min="517" max="517" width="22.1328125" customWidth="1"/>
    <col min="518" max="518" width="26.59765625" customWidth="1"/>
    <col min="519" max="519" width="8.265625" customWidth="1"/>
    <col min="520" max="520" width="22.265625" customWidth="1"/>
    <col min="769" max="769" width="16.265625" customWidth="1"/>
    <col min="770" max="770" width="23.1328125" customWidth="1"/>
    <col min="771" max="771" width="22.59765625" customWidth="1"/>
    <col min="772" max="772" width="20.1328125" customWidth="1"/>
    <col min="773" max="773" width="22.1328125" customWidth="1"/>
    <col min="774" max="774" width="26.59765625" customWidth="1"/>
    <col min="775" max="775" width="8.265625" customWidth="1"/>
    <col min="776" max="776" width="22.265625" customWidth="1"/>
    <col min="1025" max="1025" width="16.265625" customWidth="1"/>
    <col min="1026" max="1026" width="23.1328125" customWidth="1"/>
    <col min="1027" max="1027" width="22.59765625" customWidth="1"/>
    <col min="1028" max="1028" width="20.1328125" customWidth="1"/>
    <col min="1029" max="1029" width="22.1328125" customWidth="1"/>
    <col min="1030" max="1030" width="26.59765625" customWidth="1"/>
    <col min="1031" max="1031" width="8.265625" customWidth="1"/>
    <col min="1032" max="1032" width="22.265625" customWidth="1"/>
    <col min="1281" max="1281" width="16.265625" customWidth="1"/>
    <col min="1282" max="1282" width="23.1328125" customWidth="1"/>
    <col min="1283" max="1283" width="22.59765625" customWidth="1"/>
    <col min="1284" max="1284" width="20.1328125" customWidth="1"/>
    <col min="1285" max="1285" width="22.1328125" customWidth="1"/>
    <col min="1286" max="1286" width="26.59765625" customWidth="1"/>
    <col min="1287" max="1287" width="8.265625" customWidth="1"/>
    <col min="1288" max="1288" width="22.265625" customWidth="1"/>
    <col min="1537" max="1537" width="16.265625" customWidth="1"/>
    <col min="1538" max="1538" width="23.1328125" customWidth="1"/>
    <col min="1539" max="1539" width="22.59765625" customWidth="1"/>
    <col min="1540" max="1540" width="20.1328125" customWidth="1"/>
    <col min="1541" max="1541" width="22.1328125" customWidth="1"/>
    <col min="1542" max="1542" width="26.59765625" customWidth="1"/>
    <col min="1543" max="1543" width="8.265625" customWidth="1"/>
    <col min="1544" max="1544" width="22.265625" customWidth="1"/>
    <col min="1793" max="1793" width="16.265625" customWidth="1"/>
    <col min="1794" max="1794" width="23.1328125" customWidth="1"/>
    <col min="1795" max="1795" width="22.59765625" customWidth="1"/>
    <col min="1796" max="1796" width="20.1328125" customWidth="1"/>
    <col min="1797" max="1797" width="22.1328125" customWidth="1"/>
    <col min="1798" max="1798" width="26.59765625" customWidth="1"/>
    <col min="1799" max="1799" width="8.265625" customWidth="1"/>
    <col min="1800" max="1800" width="22.265625" customWidth="1"/>
    <col min="2049" max="2049" width="16.265625" customWidth="1"/>
    <col min="2050" max="2050" width="23.1328125" customWidth="1"/>
    <col min="2051" max="2051" width="22.59765625" customWidth="1"/>
    <col min="2052" max="2052" width="20.1328125" customWidth="1"/>
    <col min="2053" max="2053" width="22.1328125" customWidth="1"/>
    <col min="2054" max="2054" width="26.59765625" customWidth="1"/>
    <col min="2055" max="2055" width="8.265625" customWidth="1"/>
    <col min="2056" max="2056" width="22.265625" customWidth="1"/>
    <col min="2305" max="2305" width="16.265625" customWidth="1"/>
    <col min="2306" max="2306" width="23.1328125" customWidth="1"/>
    <col min="2307" max="2307" width="22.59765625" customWidth="1"/>
    <col min="2308" max="2308" width="20.1328125" customWidth="1"/>
    <col min="2309" max="2309" width="22.1328125" customWidth="1"/>
    <col min="2310" max="2310" width="26.59765625" customWidth="1"/>
    <col min="2311" max="2311" width="8.265625" customWidth="1"/>
    <col min="2312" max="2312" width="22.265625" customWidth="1"/>
    <col min="2561" max="2561" width="16.265625" customWidth="1"/>
    <col min="2562" max="2562" width="23.1328125" customWidth="1"/>
    <col min="2563" max="2563" width="22.59765625" customWidth="1"/>
    <col min="2564" max="2564" width="20.1328125" customWidth="1"/>
    <col min="2565" max="2565" width="22.1328125" customWidth="1"/>
    <col min="2566" max="2566" width="26.59765625" customWidth="1"/>
    <col min="2567" max="2567" width="8.265625" customWidth="1"/>
    <col min="2568" max="2568" width="22.265625" customWidth="1"/>
    <col min="2817" max="2817" width="16.265625" customWidth="1"/>
    <col min="2818" max="2818" width="23.1328125" customWidth="1"/>
    <col min="2819" max="2819" width="22.59765625" customWidth="1"/>
    <col min="2820" max="2820" width="20.1328125" customWidth="1"/>
    <col min="2821" max="2821" width="22.1328125" customWidth="1"/>
    <col min="2822" max="2822" width="26.59765625" customWidth="1"/>
    <col min="2823" max="2823" width="8.265625" customWidth="1"/>
    <col min="2824" max="2824" width="22.265625" customWidth="1"/>
    <col min="3073" max="3073" width="16.265625" customWidth="1"/>
    <col min="3074" max="3074" width="23.1328125" customWidth="1"/>
    <col min="3075" max="3075" width="22.59765625" customWidth="1"/>
    <col min="3076" max="3076" width="20.1328125" customWidth="1"/>
    <col min="3077" max="3077" width="22.1328125" customWidth="1"/>
    <col min="3078" max="3078" width="26.59765625" customWidth="1"/>
    <col min="3079" max="3079" width="8.265625" customWidth="1"/>
    <col min="3080" max="3080" width="22.265625" customWidth="1"/>
    <col min="3329" max="3329" width="16.265625" customWidth="1"/>
    <col min="3330" max="3330" width="23.1328125" customWidth="1"/>
    <col min="3331" max="3331" width="22.59765625" customWidth="1"/>
    <col min="3332" max="3332" width="20.1328125" customWidth="1"/>
    <col min="3333" max="3333" width="22.1328125" customWidth="1"/>
    <col min="3334" max="3334" width="26.59765625" customWidth="1"/>
    <col min="3335" max="3335" width="8.265625" customWidth="1"/>
    <col min="3336" max="3336" width="22.265625" customWidth="1"/>
    <col min="3585" max="3585" width="16.265625" customWidth="1"/>
    <col min="3586" max="3586" width="23.1328125" customWidth="1"/>
    <col min="3587" max="3587" width="22.59765625" customWidth="1"/>
    <col min="3588" max="3588" width="20.1328125" customWidth="1"/>
    <col min="3589" max="3589" width="22.1328125" customWidth="1"/>
    <col min="3590" max="3590" width="26.59765625" customWidth="1"/>
    <col min="3591" max="3591" width="8.265625" customWidth="1"/>
    <col min="3592" max="3592" width="22.265625" customWidth="1"/>
    <col min="3841" max="3841" width="16.265625" customWidth="1"/>
    <col min="3842" max="3842" width="23.1328125" customWidth="1"/>
    <col min="3843" max="3843" width="22.59765625" customWidth="1"/>
    <col min="3844" max="3844" width="20.1328125" customWidth="1"/>
    <col min="3845" max="3845" width="22.1328125" customWidth="1"/>
    <col min="3846" max="3846" width="26.59765625" customWidth="1"/>
    <col min="3847" max="3847" width="8.265625" customWidth="1"/>
    <col min="3848" max="3848" width="22.265625" customWidth="1"/>
    <col min="4097" max="4097" width="16.265625" customWidth="1"/>
    <col min="4098" max="4098" width="23.1328125" customWidth="1"/>
    <col min="4099" max="4099" width="22.59765625" customWidth="1"/>
    <col min="4100" max="4100" width="20.1328125" customWidth="1"/>
    <col min="4101" max="4101" width="22.1328125" customWidth="1"/>
    <col min="4102" max="4102" width="26.59765625" customWidth="1"/>
    <col min="4103" max="4103" width="8.265625" customWidth="1"/>
    <col min="4104" max="4104" width="22.265625" customWidth="1"/>
    <col min="4353" max="4353" width="16.265625" customWidth="1"/>
    <col min="4354" max="4354" width="23.1328125" customWidth="1"/>
    <col min="4355" max="4355" width="22.59765625" customWidth="1"/>
    <col min="4356" max="4356" width="20.1328125" customWidth="1"/>
    <col min="4357" max="4357" width="22.1328125" customWidth="1"/>
    <col min="4358" max="4358" width="26.59765625" customWidth="1"/>
    <col min="4359" max="4359" width="8.265625" customWidth="1"/>
    <col min="4360" max="4360" width="22.265625" customWidth="1"/>
    <col min="4609" max="4609" width="16.265625" customWidth="1"/>
    <col min="4610" max="4610" width="23.1328125" customWidth="1"/>
    <col min="4611" max="4611" width="22.59765625" customWidth="1"/>
    <col min="4612" max="4612" width="20.1328125" customWidth="1"/>
    <col min="4613" max="4613" width="22.1328125" customWidth="1"/>
    <col min="4614" max="4614" width="26.59765625" customWidth="1"/>
    <col min="4615" max="4615" width="8.265625" customWidth="1"/>
    <col min="4616" max="4616" width="22.265625" customWidth="1"/>
    <col min="4865" max="4865" width="16.265625" customWidth="1"/>
    <col min="4866" max="4866" width="23.1328125" customWidth="1"/>
    <col min="4867" max="4867" width="22.59765625" customWidth="1"/>
    <col min="4868" max="4868" width="20.1328125" customWidth="1"/>
    <col min="4869" max="4869" width="22.1328125" customWidth="1"/>
    <col min="4870" max="4870" width="26.59765625" customWidth="1"/>
    <col min="4871" max="4871" width="8.265625" customWidth="1"/>
    <col min="4872" max="4872" width="22.265625" customWidth="1"/>
    <col min="5121" max="5121" width="16.265625" customWidth="1"/>
    <col min="5122" max="5122" width="23.1328125" customWidth="1"/>
    <col min="5123" max="5123" width="22.59765625" customWidth="1"/>
    <col min="5124" max="5124" width="20.1328125" customWidth="1"/>
    <col min="5125" max="5125" width="22.1328125" customWidth="1"/>
    <col min="5126" max="5126" width="26.59765625" customWidth="1"/>
    <col min="5127" max="5127" width="8.265625" customWidth="1"/>
    <col min="5128" max="5128" width="22.265625" customWidth="1"/>
    <col min="5377" max="5377" width="16.265625" customWidth="1"/>
    <col min="5378" max="5378" width="23.1328125" customWidth="1"/>
    <col min="5379" max="5379" width="22.59765625" customWidth="1"/>
    <col min="5380" max="5380" width="20.1328125" customWidth="1"/>
    <col min="5381" max="5381" width="22.1328125" customWidth="1"/>
    <col min="5382" max="5382" width="26.59765625" customWidth="1"/>
    <col min="5383" max="5383" width="8.265625" customWidth="1"/>
    <col min="5384" max="5384" width="22.265625" customWidth="1"/>
    <col min="5633" max="5633" width="16.265625" customWidth="1"/>
    <col min="5634" max="5634" width="23.1328125" customWidth="1"/>
    <col min="5635" max="5635" width="22.59765625" customWidth="1"/>
    <col min="5636" max="5636" width="20.1328125" customWidth="1"/>
    <col min="5637" max="5637" width="22.1328125" customWidth="1"/>
    <col min="5638" max="5638" width="26.59765625" customWidth="1"/>
    <col min="5639" max="5639" width="8.265625" customWidth="1"/>
    <col min="5640" max="5640" width="22.265625" customWidth="1"/>
    <col min="5889" max="5889" width="16.265625" customWidth="1"/>
    <col min="5890" max="5890" width="23.1328125" customWidth="1"/>
    <col min="5891" max="5891" width="22.59765625" customWidth="1"/>
    <col min="5892" max="5892" width="20.1328125" customWidth="1"/>
    <col min="5893" max="5893" width="22.1328125" customWidth="1"/>
    <col min="5894" max="5894" width="26.59765625" customWidth="1"/>
    <col min="5895" max="5895" width="8.265625" customWidth="1"/>
    <col min="5896" max="5896" width="22.265625" customWidth="1"/>
    <col min="6145" max="6145" width="16.265625" customWidth="1"/>
    <col min="6146" max="6146" width="23.1328125" customWidth="1"/>
    <col min="6147" max="6147" width="22.59765625" customWidth="1"/>
    <col min="6148" max="6148" width="20.1328125" customWidth="1"/>
    <col min="6149" max="6149" width="22.1328125" customWidth="1"/>
    <col min="6150" max="6150" width="26.59765625" customWidth="1"/>
    <col min="6151" max="6151" width="8.265625" customWidth="1"/>
    <col min="6152" max="6152" width="22.265625" customWidth="1"/>
    <col min="6401" max="6401" width="16.265625" customWidth="1"/>
    <col min="6402" max="6402" width="23.1328125" customWidth="1"/>
    <col min="6403" max="6403" width="22.59765625" customWidth="1"/>
    <col min="6404" max="6404" width="20.1328125" customWidth="1"/>
    <col min="6405" max="6405" width="22.1328125" customWidth="1"/>
    <col min="6406" max="6406" width="26.59765625" customWidth="1"/>
    <col min="6407" max="6407" width="8.265625" customWidth="1"/>
    <col min="6408" max="6408" width="22.265625" customWidth="1"/>
    <col min="6657" max="6657" width="16.265625" customWidth="1"/>
    <col min="6658" max="6658" width="23.1328125" customWidth="1"/>
    <col min="6659" max="6659" width="22.59765625" customWidth="1"/>
    <col min="6660" max="6660" width="20.1328125" customWidth="1"/>
    <col min="6661" max="6661" width="22.1328125" customWidth="1"/>
    <col min="6662" max="6662" width="26.59765625" customWidth="1"/>
    <col min="6663" max="6663" width="8.265625" customWidth="1"/>
    <col min="6664" max="6664" width="22.265625" customWidth="1"/>
    <col min="6913" max="6913" width="16.265625" customWidth="1"/>
    <col min="6914" max="6914" width="23.1328125" customWidth="1"/>
    <col min="6915" max="6915" width="22.59765625" customWidth="1"/>
    <col min="6916" max="6916" width="20.1328125" customWidth="1"/>
    <col min="6917" max="6917" width="22.1328125" customWidth="1"/>
    <col min="6918" max="6918" width="26.59765625" customWidth="1"/>
    <col min="6919" max="6919" width="8.265625" customWidth="1"/>
    <col min="6920" max="6920" width="22.265625" customWidth="1"/>
    <col min="7169" max="7169" width="16.265625" customWidth="1"/>
    <col min="7170" max="7170" width="23.1328125" customWidth="1"/>
    <col min="7171" max="7171" width="22.59765625" customWidth="1"/>
    <col min="7172" max="7172" width="20.1328125" customWidth="1"/>
    <col min="7173" max="7173" width="22.1328125" customWidth="1"/>
    <col min="7174" max="7174" width="26.59765625" customWidth="1"/>
    <col min="7175" max="7175" width="8.265625" customWidth="1"/>
    <col min="7176" max="7176" width="22.265625" customWidth="1"/>
    <col min="7425" max="7425" width="16.265625" customWidth="1"/>
    <col min="7426" max="7426" width="23.1328125" customWidth="1"/>
    <col min="7427" max="7427" width="22.59765625" customWidth="1"/>
    <col min="7428" max="7428" width="20.1328125" customWidth="1"/>
    <col min="7429" max="7429" width="22.1328125" customWidth="1"/>
    <col min="7430" max="7430" width="26.59765625" customWidth="1"/>
    <col min="7431" max="7431" width="8.265625" customWidth="1"/>
    <col min="7432" max="7432" width="22.265625" customWidth="1"/>
    <col min="7681" max="7681" width="16.265625" customWidth="1"/>
    <col min="7682" max="7682" width="23.1328125" customWidth="1"/>
    <col min="7683" max="7683" width="22.59765625" customWidth="1"/>
    <col min="7684" max="7684" width="20.1328125" customWidth="1"/>
    <col min="7685" max="7685" width="22.1328125" customWidth="1"/>
    <col min="7686" max="7686" width="26.59765625" customWidth="1"/>
    <col min="7687" max="7687" width="8.265625" customWidth="1"/>
    <col min="7688" max="7688" width="22.265625" customWidth="1"/>
    <col min="7937" max="7937" width="16.265625" customWidth="1"/>
    <col min="7938" max="7938" width="23.1328125" customWidth="1"/>
    <col min="7939" max="7939" width="22.59765625" customWidth="1"/>
    <col min="7940" max="7940" width="20.1328125" customWidth="1"/>
    <col min="7941" max="7941" width="22.1328125" customWidth="1"/>
    <col min="7942" max="7942" width="26.59765625" customWidth="1"/>
    <col min="7943" max="7943" width="8.265625" customWidth="1"/>
    <col min="7944" max="7944" width="22.265625" customWidth="1"/>
    <col min="8193" max="8193" width="16.265625" customWidth="1"/>
    <col min="8194" max="8194" width="23.1328125" customWidth="1"/>
    <col min="8195" max="8195" width="22.59765625" customWidth="1"/>
    <col min="8196" max="8196" width="20.1328125" customWidth="1"/>
    <col min="8197" max="8197" width="22.1328125" customWidth="1"/>
    <col min="8198" max="8198" width="26.59765625" customWidth="1"/>
    <col min="8199" max="8199" width="8.265625" customWidth="1"/>
    <col min="8200" max="8200" width="22.265625" customWidth="1"/>
    <col min="8449" max="8449" width="16.265625" customWidth="1"/>
    <col min="8450" max="8450" width="23.1328125" customWidth="1"/>
    <col min="8451" max="8451" width="22.59765625" customWidth="1"/>
    <col min="8452" max="8452" width="20.1328125" customWidth="1"/>
    <col min="8453" max="8453" width="22.1328125" customWidth="1"/>
    <col min="8454" max="8454" width="26.59765625" customWidth="1"/>
    <col min="8455" max="8455" width="8.265625" customWidth="1"/>
    <col min="8456" max="8456" width="22.265625" customWidth="1"/>
    <col min="8705" max="8705" width="16.265625" customWidth="1"/>
    <col min="8706" max="8706" width="23.1328125" customWidth="1"/>
    <col min="8707" max="8707" width="22.59765625" customWidth="1"/>
    <col min="8708" max="8708" width="20.1328125" customWidth="1"/>
    <col min="8709" max="8709" width="22.1328125" customWidth="1"/>
    <col min="8710" max="8710" width="26.59765625" customWidth="1"/>
    <col min="8711" max="8711" width="8.265625" customWidth="1"/>
    <col min="8712" max="8712" width="22.265625" customWidth="1"/>
    <col min="8961" max="8961" width="16.265625" customWidth="1"/>
    <col min="8962" max="8962" width="23.1328125" customWidth="1"/>
    <col min="8963" max="8963" width="22.59765625" customWidth="1"/>
    <col min="8964" max="8964" width="20.1328125" customWidth="1"/>
    <col min="8965" max="8965" width="22.1328125" customWidth="1"/>
    <col min="8966" max="8966" width="26.59765625" customWidth="1"/>
    <col min="8967" max="8967" width="8.265625" customWidth="1"/>
    <col min="8968" max="8968" width="22.265625" customWidth="1"/>
    <col min="9217" max="9217" width="16.265625" customWidth="1"/>
    <col min="9218" max="9218" width="23.1328125" customWidth="1"/>
    <col min="9219" max="9219" width="22.59765625" customWidth="1"/>
    <col min="9220" max="9220" width="20.1328125" customWidth="1"/>
    <col min="9221" max="9221" width="22.1328125" customWidth="1"/>
    <col min="9222" max="9222" width="26.59765625" customWidth="1"/>
    <col min="9223" max="9223" width="8.265625" customWidth="1"/>
    <col min="9224" max="9224" width="22.265625" customWidth="1"/>
    <col min="9473" max="9473" width="16.265625" customWidth="1"/>
    <col min="9474" max="9474" width="23.1328125" customWidth="1"/>
    <col min="9475" max="9475" width="22.59765625" customWidth="1"/>
    <col min="9476" max="9476" width="20.1328125" customWidth="1"/>
    <col min="9477" max="9477" width="22.1328125" customWidth="1"/>
    <col min="9478" max="9478" width="26.59765625" customWidth="1"/>
    <col min="9479" max="9479" width="8.265625" customWidth="1"/>
    <col min="9480" max="9480" width="22.265625" customWidth="1"/>
    <col min="9729" max="9729" width="16.265625" customWidth="1"/>
    <col min="9730" max="9730" width="23.1328125" customWidth="1"/>
    <col min="9731" max="9731" width="22.59765625" customWidth="1"/>
    <col min="9732" max="9732" width="20.1328125" customWidth="1"/>
    <col min="9733" max="9733" width="22.1328125" customWidth="1"/>
    <col min="9734" max="9734" width="26.59765625" customWidth="1"/>
    <col min="9735" max="9735" width="8.265625" customWidth="1"/>
    <col min="9736" max="9736" width="22.265625" customWidth="1"/>
    <col min="9985" max="9985" width="16.265625" customWidth="1"/>
    <col min="9986" max="9986" width="23.1328125" customWidth="1"/>
    <col min="9987" max="9987" width="22.59765625" customWidth="1"/>
    <col min="9988" max="9988" width="20.1328125" customWidth="1"/>
    <col min="9989" max="9989" width="22.1328125" customWidth="1"/>
    <col min="9990" max="9990" width="26.59765625" customWidth="1"/>
    <col min="9991" max="9991" width="8.265625" customWidth="1"/>
    <col min="9992" max="9992" width="22.265625" customWidth="1"/>
    <col min="10241" max="10241" width="16.265625" customWidth="1"/>
    <col min="10242" max="10242" width="23.1328125" customWidth="1"/>
    <col min="10243" max="10243" width="22.59765625" customWidth="1"/>
    <col min="10244" max="10244" width="20.1328125" customWidth="1"/>
    <col min="10245" max="10245" width="22.1328125" customWidth="1"/>
    <col min="10246" max="10246" width="26.59765625" customWidth="1"/>
    <col min="10247" max="10247" width="8.265625" customWidth="1"/>
    <col min="10248" max="10248" width="22.265625" customWidth="1"/>
    <col min="10497" max="10497" width="16.265625" customWidth="1"/>
    <col min="10498" max="10498" width="23.1328125" customWidth="1"/>
    <col min="10499" max="10499" width="22.59765625" customWidth="1"/>
    <col min="10500" max="10500" width="20.1328125" customWidth="1"/>
    <col min="10501" max="10501" width="22.1328125" customWidth="1"/>
    <col min="10502" max="10502" width="26.59765625" customWidth="1"/>
    <col min="10503" max="10503" width="8.265625" customWidth="1"/>
    <col min="10504" max="10504" width="22.265625" customWidth="1"/>
    <col min="10753" max="10753" width="16.265625" customWidth="1"/>
    <col min="10754" max="10754" width="23.1328125" customWidth="1"/>
    <col min="10755" max="10755" width="22.59765625" customWidth="1"/>
    <col min="10756" max="10756" width="20.1328125" customWidth="1"/>
    <col min="10757" max="10757" width="22.1328125" customWidth="1"/>
    <col min="10758" max="10758" width="26.59765625" customWidth="1"/>
    <col min="10759" max="10759" width="8.265625" customWidth="1"/>
    <col min="10760" max="10760" width="22.265625" customWidth="1"/>
    <col min="11009" max="11009" width="16.265625" customWidth="1"/>
    <col min="11010" max="11010" width="23.1328125" customWidth="1"/>
    <col min="11011" max="11011" width="22.59765625" customWidth="1"/>
    <col min="11012" max="11012" width="20.1328125" customWidth="1"/>
    <col min="11013" max="11013" width="22.1328125" customWidth="1"/>
    <col min="11014" max="11014" width="26.59765625" customWidth="1"/>
    <col min="11015" max="11015" width="8.265625" customWidth="1"/>
    <col min="11016" max="11016" width="22.265625" customWidth="1"/>
    <col min="11265" max="11265" width="16.265625" customWidth="1"/>
    <col min="11266" max="11266" width="23.1328125" customWidth="1"/>
    <col min="11267" max="11267" width="22.59765625" customWidth="1"/>
    <col min="11268" max="11268" width="20.1328125" customWidth="1"/>
    <col min="11269" max="11269" width="22.1328125" customWidth="1"/>
    <col min="11270" max="11270" width="26.59765625" customWidth="1"/>
    <col min="11271" max="11271" width="8.265625" customWidth="1"/>
    <col min="11272" max="11272" width="22.265625" customWidth="1"/>
    <col min="11521" max="11521" width="16.265625" customWidth="1"/>
    <col min="11522" max="11522" width="23.1328125" customWidth="1"/>
    <col min="11523" max="11523" width="22.59765625" customWidth="1"/>
    <col min="11524" max="11524" width="20.1328125" customWidth="1"/>
    <col min="11525" max="11525" width="22.1328125" customWidth="1"/>
    <col min="11526" max="11526" width="26.59765625" customWidth="1"/>
    <col min="11527" max="11527" width="8.265625" customWidth="1"/>
    <col min="11528" max="11528" width="22.265625" customWidth="1"/>
    <col min="11777" max="11777" width="16.265625" customWidth="1"/>
    <col min="11778" max="11778" width="23.1328125" customWidth="1"/>
    <col min="11779" max="11779" width="22.59765625" customWidth="1"/>
    <col min="11780" max="11780" width="20.1328125" customWidth="1"/>
    <col min="11781" max="11781" width="22.1328125" customWidth="1"/>
    <col min="11782" max="11782" width="26.59765625" customWidth="1"/>
    <col min="11783" max="11783" width="8.265625" customWidth="1"/>
    <col min="11784" max="11784" width="22.265625" customWidth="1"/>
    <col min="12033" max="12033" width="16.265625" customWidth="1"/>
    <col min="12034" max="12034" width="23.1328125" customWidth="1"/>
    <col min="12035" max="12035" width="22.59765625" customWidth="1"/>
    <col min="12036" max="12036" width="20.1328125" customWidth="1"/>
    <col min="12037" max="12037" width="22.1328125" customWidth="1"/>
    <col min="12038" max="12038" width="26.59765625" customWidth="1"/>
    <col min="12039" max="12039" width="8.265625" customWidth="1"/>
    <col min="12040" max="12040" width="22.265625" customWidth="1"/>
    <col min="12289" max="12289" width="16.265625" customWidth="1"/>
    <col min="12290" max="12290" width="23.1328125" customWidth="1"/>
    <col min="12291" max="12291" width="22.59765625" customWidth="1"/>
    <col min="12292" max="12292" width="20.1328125" customWidth="1"/>
    <col min="12293" max="12293" width="22.1328125" customWidth="1"/>
    <col min="12294" max="12294" width="26.59765625" customWidth="1"/>
    <col min="12295" max="12295" width="8.265625" customWidth="1"/>
    <col min="12296" max="12296" width="22.265625" customWidth="1"/>
    <col min="12545" max="12545" width="16.265625" customWidth="1"/>
    <col min="12546" max="12546" width="23.1328125" customWidth="1"/>
    <col min="12547" max="12547" width="22.59765625" customWidth="1"/>
    <col min="12548" max="12548" width="20.1328125" customWidth="1"/>
    <col min="12549" max="12549" width="22.1328125" customWidth="1"/>
    <col min="12550" max="12550" width="26.59765625" customWidth="1"/>
    <col min="12551" max="12551" width="8.265625" customWidth="1"/>
    <col min="12552" max="12552" width="22.265625" customWidth="1"/>
    <col min="12801" max="12801" width="16.265625" customWidth="1"/>
    <col min="12802" max="12802" width="23.1328125" customWidth="1"/>
    <col min="12803" max="12803" width="22.59765625" customWidth="1"/>
    <col min="12804" max="12804" width="20.1328125" customWidth="1"/>
    <col min="12805" max="12805" width="22.1328125" customWidth="1"/>
    <col min="12806" max="12806" width="26.59765625" customWidth="1"/>
    <col min="12807" max="12807" width="8.265625" customWidth="1"/>
    <col min="12808" max="12808" width="22.265625" customWidth="1"/>
    <col min="13057" max="13057" width="16.265625" customWidth="1"/>
    <col min="13058" max="13058" width="23.1328125" customWidth="1"/>
    <col min="13059" max="13059" width="22.59765625" customWidth="1"/>
    <col min="13060" max="13060" width="20.1328125" customWidth="1"/>
    <col min="13061" max="13061" width="22.1328125" customWidth="1"/>
    <col min="13062" max="13062" width="26.59765625" customWidth="1"/>
    <col min="13063" max="13063" width="8.265625" customWidth="1"/>
    <col min="13064" max="13064" width="22.265625" customWidth="1"/>
    <col min="13313" max="13313" width="16.265625" customWidth="1"/>
    <col min="13314" max="13314" width="23.1328125" customWidth="1"/>
    <col min="13315" max="13315" width="22.59765625" customWidth="1"/>
    <col min="13316" max="13316" width="20.1328125" customWidth="1"/>
    <col min="13317" max="13317" width="22.1328125" customWidth="1"/>
    <col min="13318" max="13318" width="26.59765625" customWidth="1"/>
    <col min="13319" max="13319" width="8.265625" customWidth="1"/>
    <col min="13320" max="13320" width="22.265625" customWidth="1"/>
    <col min="13569" max="13569" width="16.265625" customWidth="1"/>
    <col min="13570" max="13570" width="23.1328125" customWidth="1"/>
    <col min="13571" max="13571" width="22.59765625" customWidth="1"/>
    <col min="13572" max="13572" width="20.1328125" customWidth="1"/>
    <col min="13573" max="13573" width="22.1328125" customWidth="1"/>
    <col min="13574" max="13574" width="26.59765625" customWidth="1"/>
    <col min="13575" max="13575" width="8.265625" customWidth="1"/>
    <col min="13576" max="13576" width="22.265625" customWidth="1"/>
    <col min="13825" max="13825" width="16.265625" customWidth="1"/>
    <col min="13826" max="13826" width="23.1328125" customWidth="1"/>
    <col min="13827" max="13827" width="22.59765625" customWidth="1"/>
    <col min="13828" max="13828" width="20.1328125" customWidth="1"/>
    <col min="13829" max="13829" width="22.1328125" customWidth="1"/>
    <col min="13830" max="13830" width="26.59765625" customWidth="1"/>
    <col min="13831" max="13831" width="8.265625" customWidth="1"/>
    <col min="13832" max="13832" width="22.265625" customWidth="1"/>
    <col min="14081" max="14081" width="16.265625" customWidth="1"/>
    <col min="14082" max="14082" width="23.1328125" customWidth="1"/>
    <col min="14083" max="14083" width="22.59765625" customWidth="1"/>
    <col min="14084" max="14084" width="20.1328125" customWidth="1"/>
    <col min="14085" max="14085" width="22.1328125" customWidth="1"/>
    <col min="14086" max="14086" width="26.59765625" customWidth="1"/>
    <col min="14087" max="14087" width="8.265625" customWidth="1"/>
    <col min="14088" max="14088" width="22.265625" customWidth="1"/>
    <col min="14337" max="14337" width="16.265625" customWidth="1"/>
    <col min="14338" max="14338" width="23.1328125" customWidth="1"/>
    <col min="14339" max="14339" width="22.59765625" customWidth="1"/>
    <col min="14340" max="14340" width="20.1328125" customWidth="1"/>
    <col min="14341" max="14341" width="22.1328125" customWidth="1"/>
    <col min="14342" max="14342" width="26.59765625" customWidth="1"/>
    <col min="14343" max="14343" width="8.265625" customWidth="1"/>
    <col min="14344" max="14344" width="22.265625" customWidth="1"/>
    <col min="14593" max="14593" width="16.265625" customWidth="1"/>
    <col min="14594" max="14594" width="23.1328125" customWidth="1"/>
    <col min="14595" max="14595" width="22.59765625" customWidth="1"/>
    <col min="14596" max="14596" width="20.1328125" customWidth="1"/>
    <col min="14597" max="14597" width="22.1328125" customWidth="1"/>
    <col min="14598" max="14598" width="26.59765625" customWidth="1"/>
    <col min="14599" max="14599" width="8.265625" customWidth="1"/>
    <col min="14600" max="14600" width="22.265625" customWidth="1"/>
    <col min="14849" max="14849" width="16.265625" customWidth="1"/>
    <col min="14850" max="14850" width="23.1328125" customWidth="1"/>
    <col min="14851" max="14851" width="22.59765625" customWidth="1"/>
    <col min="14852" max="14852" width="20.1328125" customWidth="1"/>
    <col min="14853" max="14853" width="22.1328125" customWidth="1"/>
    <col min="14854" max="14854" width="26.59765625" customWidth="1"/>
    <col min="14855" max="14855" width="8.265625" customWidth="1"/>
    <col min="14856" max="14856" width="22.265625" customWidth="1"/>
    <col min="15105" max="15105" width="16.265625" customWidth="1"/>
    <col min="15106" max="15106" width="23.1328125" customWidth="1"/>
    <col min="15107" max="15107" width="22.59765625" customWidth="1"/>
    <col min="15108" max="15108" width="20.1328125" customWidth="1"/>
    <col min="15109" max="15109" width="22.1328125" customWidth="1"/>
    <col min="15110" max="15110" width="26.59765625" customWidth="1"/>
    <col min="15111" max="15111" width="8.265625" customWidth="1"/>
    <col min="15112" max="15112" width="22.265625" customWidth="1"/>
    <col min="15361" max="15361" width="16.265625" customWidth="1"/>
    <col min="15362" max="15362" width="23.1328125" customWidth="1"/>
    <col min="15363" max="15363" width="22.59765625" customWidth="1"/>
    <col min="15364" max="15364" width="20.1328125" customWidth="1"/>
    <col min="15365" max="15365" width="22.1328125" customWidth="1"/>
    <col min="15366" max="15366" width="26.59765625" customWidth="1"/>
    <col min="15367" max="15367" width="8.265625" customWidth="1"/>
    <col min="15368" max="15368" width="22.265625" customWidth="1"/>
    <col min="15617" max="15617" width="16.265625" customWidth="1"/>
    <col min="15618" max="15618" width="23.1328125" customWidth="1"/>
    <col min="15619" max="15619" width="22.59765625" customWidth="1"/>
    <col min="15620" max="15620" width="20.1328125" customWidth="1"/>
    <col min="15621" max="15621" width="22.1328125" customWidth="1"/>
    <col min="15622" max="15622" width="26.59765625" customWidth="1"/>
    <col min="15623" max="15623" width="8.265625" customWidth="1"/>
    <col min="15624" max="15624" width="22.265625" customWidth="1"/>
    <col min="15873" max="15873" width="16.265625" customWidth="1"/>
    <col min="15874" max="15874" width="23.1328125" customWidth="1"/>
    <col min="15875" max="15875" width="22.59765625" customWidth="1"/>
    <col min="15876" max="15876" width="20.1328125" customWidth="1"/>
    <col min="15877" max="15877" width="22.1328125" customWidth="1"/>
    <col min="15878" max="15878" width="26.59765625" customWidth="1"/>
    <col min="15879" max="15879" width="8.265625" customWidth="1"/>
    <col min="15880" max="15880" width="22.265625" customWidth="1"/>
    <col min="16129" max="16129" width="16.265625" customWidth="1"/>
    <col min="16130" max="16130" width="23.1328125" customWidth="1"/>
    <col min="16131" max="16131" width="22.59765625" customWidth="1"/>
    <col min="16132" max="16132" width="20.1328125" customWidth="1"/>
    <col min="16133" max="16133" width="22.1328125" customWidth="1"/>
    <col min="16134" max="16134" width="26.59765625" customWidth="1"/>
    <col min="16135" max="16135" width="8.265625" customWidth="1"/>
    <col min="16136" max="16136" width="22.265625" customWidth="1"/>
  </cols>
  <sheetData>
    <row r="1" spans="1:8" ht="24" customHeight="1" x14ac:dyDescent="0.7">
      <c r="A1" s="67" t="s">
        <v>567</v>
      </c>
    </row>
    <row r="2" spans="1:8" ht="18.75" customHeight="1" x14ac:dyDescent="0.65">
      <c r="A2" s="57"/>
    </row>
    <row r="3" spans="1:8" ht="18.75" customHeight="1" thickBot="1" x14ac:dyDescent="0.7">
      <c r="A3" s="57"/>
      <c r="B3" s="69" t="s">
        <v>504</v>
      </c>
      <c r="C3" s="3"/>
      <c r="D3" s="3"/>
      <c r="E3" s="3"/>
      <c r="F3" s="71" t="s">
        <v>505</v>
      </c>
      <c r="G3" s="59"/>
    </row>
    <row r="4" spans="1:8" ht="18.75" customHeight="1" thickBot="1" x14ac:dyDescent="0.7">
      <c r="A4" s="57"/>
      <c r="B4" s="60">
        <f>SUBTOTAL(3,B7:B58)</f>
        <v>41</v>
      </c>
      <c r="C4" s="3"/>
      <c r="D4" s="3"/>
      <c r="E4" s="3"/>
      <c r="F4" s="61">
        <f>SUBTOTAL(9,F7:F58)</f>
        <v>15622381</v>
      </c>
      <c r="G4" s="11"/>
    </row>
    <row r="5" spans="1:8" ht="18.75" customHeight="1" x14ac:dyDescent="0.5">
      <c r="B5" s="3"/>
      <c r="C5" s="3"/>
      <c r="D5" s="3"/>
      <c r="E5" s="3"/>
      <c r="F5" s="3"/>
    </row>
    <row r="6" spans="1:8" s="62" customFormat="1" ht="18.75" customHeight="1" x14ac:dyDescent="0.5">
      <c r="A6" s="76" t="s">
        <v>506</v>
      </c>
      <c r="B6" s="76" t="s">
        <v>507</v>
      </c>
      <c r="C6" s="76" t="s">
        <v>508</v>
      </c>
      <c r="D6" s="76" t="s">
        <v>509</v>
      </c>
      <c r="E6" s="76" t="s">
        <v>510</v>
      </c>
      <c r="F6" s="76" t="s">
        <v>511</v>
      </c>
      <c r="G6" s="68"/>
      <c r="H6" s="70" t="s">
        <v>556</v>
      </c>
    </row>
    <row r="7" spans="1:8" s="62" customFormat="1" ht="18.75" customHeight="1" outlineLevel="2" x14ac:dyDescent="0.5">
      <c r="A7" s="3" t="s">
        <v>512</v>
      </c>
      <c r="B7" s="3" t="s">
        <v>513</v>
      </c>
      <c r="C7" s="3" t="s">
        <v>514</v>
      </c>
      <c r="D7" s="3" t="s">
        <v>515</v>
      </c>
      <c r="E7" s="14" t="s">
        <v>516</v>
      </c>
      <c r="F7" s="14">
        <v>311569</v>
      </c>
      <c r="G7" s="14"/>
      <c r="H7" s="63" t="s">
        <v>518</v>
      </c>
    </row>
    <row r="8" spans="1:8" s="62" customFormat="1" ht="18.75" customHeight="1" outlineLevel="2" x14ac:dyDescent="0.5">
      <c r="A8" s="3" t="s">
        <v>512</v>
      </c>
      <c r="B8" s="3" t="s">
        <v>513</v>
      </c>
      <c r="C8" s="3" t="s">
        <v>514</v>
      </c>
      <c r="D8" s="3" t="s">
        <v>515</v>
      </c>
      <c r="E8" s="14" t="s">
        <v>517</v>
      </c>
      <c r="F8" s="14">
        <v>568944</v>
      </c>
      <c r="G8" s="14"/>
      <c r="H8" s="63" t="s">
        <v>522</v>
      </c>
    </row>
    <row r="9" spans="1:8" s="62" customFormat="1" ht="18.75" customHeight="1" outlineLevel="2" x14ac:dyDescent="0.5">
      <c r="A9" s="3" t="s">
        <v>512</v>
      </c>
      <c r="B9" s="3" t="s">
        <v>519</v>
      </c>
      <c r="C9" s="3" t="s">
        <v>520</v>
      </c>
      <c r="D9" s="3" t="s">
        <v>521</v>
      </c>
      <c r="E9" s="14" t="s">
        <v>517</v>
      </c>
      <c r="F9" s="14">
        <v>789504</v>
      </c>
      <c r="G9" s="14"/>
      <c r="H9" s="64" t="s">
        <v>524</v>
      </c>
    </row>
    <row r="10" spans="1:8" s="62" customFormat="1" ht="18.75" customHeight="1" outlineLevel="2" x14ac:dyDescent="0.5">
      <c r="A10" s="3" t="s">
        <v>512</v>
      </c>
      <c r="B10" s="3" t="s">
        <v>519</v>
      </c>
      <c r="C10" s="3" t="s">
        <v>523</v>
      </c>
      <c r="D10" s="3" t="s">
        <v>521</v>
      </c>
      <c r="E10" s="14" t="s">
        <v>516</v>
      </c>
      <c r="F10" s="14">
        <v>255975</v>
      </c>
      <c r="G10" s="14"/>
      <c r="H10" s="63" t="s">
        <v>526</v>
      </c>
    </row>
    <row r="11" spans="1:8" ht="18.75" customHeight="1" outlineLevel="2" x14ac:dyDescent="0.5">
      <c r="A11" s="3" t="s">
        <v>512</v>
      </c>
      <c r="B11" s="3" t="s">
        <v>513</v>
      </c>
      <c r="C11" s="3" t="s">
        <v>514</v>
      </c>
      <c r="D11" s="3" t="s">
        <v>525</v>
      </c>
      <c r="E11" s="14" t="s">
        <v>516</v>
      </c>
      <c r="F11" s="14">
        <v>89005</v>
      </c>
      <c r="G11" s="14"/>
      <c r="H11" s="64" t="s">
        <v>527</v>
      </c>
    </row>
    <row r="12" spans="1:8" s="65" customFormat="1" ht="18.75" customHeight="1" outlineLevel="2" x14ac:dyDescent="0.5">
      <c r="A12" s="3" t="s">
        <v>512</v>
      </c>
      <c r="B12" s="3" t="s">
        <v>513</v>
      </c>
      <c r="C12" s="3" t="s">
        <v>514</v>
      </c>
      <c r="D12" s="3" t="s">
        <v>525</v>
      </c>
      <c r="E12" s="14" t="s">
        <v>517</v>
      </c>
      <c r="F12" s="14">
        <v>103900</v>
      </c>
      <c r="G12" s="14"/>
      <c r="H12" s="64" t="s">
        <v>530</v>
      </c>
    </row>
    <row r="13" spans="1:8" ht="18.75" customHeight="1" outlineLevel="2" x14ac:dyDescent="0.5">
      <c r="A13" s="3" t="s">
        <v>512</v>
      </c>
      <c r="B13" s="3" t="s">
        <v>528</v>
      </c>
      <c r="C13" s="3" t="s">
        <v>529</v>
      </c>
      <c r="D13" s="3" t="s">
        <v>515</v>
      </c>
      <c r="E13" s="14" t="s">
        <v>517</v>
      </c>
      <c r="F13" s="14">
        <v>654300</v>
      </c>
      <c r="G13" s="14"/>
      <c r="H13" s="64" t="s">
        <v>531</v>
      </c>
    </row>
    <row r="14" spans="1:8" ht="18.75" customHeight="1" outlineLevel="2" x14ac:dyDescent="0.5">
      <c r="A14" s="3" t="s">
        <v>512</v>
      </c>
      <c r="B14" s="3" t="s">
        <v>528</v>
      </c>
      <c r="C14" s="3" t="s">
        <v>529</v>
      </c>
      <c r="D14" s="3" t="s">
        <v>515</v>
      </c>
      <c r="E14" s="14" t="s">
        <v>516</v>
      </c>
      <c r="F14" s="14">
        <v>145900</v>
      </c>
      <c r="G14" s="14"/>
      <c r="H14" s="64" t="s">
        <v>536</v>
      </c>
    </row>
    <row r="15" spans="1:8" ht="18.75" customHeight="1" outlineLevel="2" x14ac:dyDescent="0.5">
      <c r="A15" s="3" t="s">
        <v>512</v>
      </c>
      <c r="B15" s="3" t="s">
        <v>532</v>
      </c>
      <c r="C15" s="3" t="s">
        <v>533</v>
      </c>
      <c r="D15" s="3" t="s">
        <v>534</v>
      </c>
      <c r="E15" s="14" t="s">
        <v>535</v>
      </c>
      <c r="F15" s="14">
        <v>54900</v>
      </c>
      <c r="G15" s="14"/>
      <c r="H15" s="64" t="s">
        <v>537</v>
      </c>
    </row>
    <row r="16" spans="1:8" ht="18.75" customHeight="1" outlineLevel="2" x14ac:dyDescent="0.5">
      <c r="A16" s="3" t="s">
        <v>512</v>
      </c>
      <c r="B16" s="3" t="s">
        <v>532</v>
      </c>
      <c r="C16" s="3" t="s">
        <v>533</v>
      </c>
      <c r="D16" s="3" t="s">
        <v>534</v>
      </c>
      <c r="E16" s="14" t="s">
        <v>535</v>
      </c>
      <c r="F16" s="14">
        <v>99875</v>
      </c>
      <c r="G16" s="14"/>
      <c r="H16" s="64" t="s">
        <v>542</v>
      </c>
    </row>
    <row r="17" spans="1:8" ht="18.75" customHeight="1" outlineLevel="2" x14ac:dyDescent="0.5">
      <c r="A17" s="3" t="s">
        <v>512</v>
      </c>
      <c r="B17" s="3" t="s">
        <v>538</v>
      </c>
      <c r="C17" s="3" t="s">
        <v>539</v>
      </c>
      <c r="D17" s="3" t="s">
        <v>540</v>
      </c>
      <c r="E17" s="14" t="s">
        <v>541</v>
      </c>
      <c r="F17" s="14">
        <v>856004</v>
      </c>
      <c r="G17" s="14"/>
      <c r="H17" s="64" t="s">
        <v>544</v>
      </c>
    </row>
    <row r="18" spans="1:8" ht="18.75" customHeight="1" outlineLevel="1" x14ac:dyDescent="0.5">
      <c r="A18" s="4" t="s">
        <v>557</v>
      </c>
      <c r="B18" s="3"/>
      <c r="C18" s="3"/>
      <c r="D18" s="3"/>
      <c r="E18" s="14"/>
      <c r="F18" s="14">
        <f>SUBTOTAL(9,F7:F17)</f>
        <v>3929876</v>
      </c>
      <c r="G18" s="14"/>
      <c r="H18" s="64"/>
    </row>
    <row r="19" spans="1:8" ht="18.75" customHeight="1" outlineLevel="2" x14ac:dyDescent="0.5">
      <c r="A19" s="3" t="s">
        <v>543</v>
      </c>
      <c r="B19" s="3" t="s">
        <v>513</v>
      </c>
      <c r="C19" s="3" t="s">
        <v>514</v>
      </c>
      <c r="D19" s="3" t="s">
        <v>515</v>
      </c>
      <c r="E19" s="14" t="s">
        <v>517</v>
      </c>
      <c r="F19" s="14">
        <v>80900</v>
      </c>
      <c r="G19" s="14"/>
    </row>
    <row r="20" spans="1:8" ht="18.75" customHeight="1" outlineLevel="2" x14ac:dyDescent="0.5">
      <c r="A20" s="3" t="s">
        <v>543</v>
      </c>
      <c r="B20" s="3" t="s">
        <v>538</v>
      </c>
      <c r="C20" s="3" t="s">
        <v>539</v>
      </c>
      <c r="D20" s="3" t="s">
        <v>540</v>
      </c>
      <c r="E20" s="14" t="s">
        <v>541</v>
      </c>
      <c r="F20" s="14">
        <v>560900</v>
      </c>
      <c r="G20" s="14"/>
    </row>
    <row r="21" spans="1:8" ht="18.75" customHeight="1" outlineLevel="2" x14ac:dyDescent="0.5">
      <c r="A21" s="3" t="s">
        <v>543</v>
      </c>
      <c r="B21" s="3" t="s">
        <v>519</v>
      </c>
      <c r="C21" s="3" t="s">
        <v>523</v>
      </c>
      <c r="D21" s="3" t="s">
        <v>521</v>
      </c>
      <c r="E21" s="14" t="s">
        <v>517</v>
      </c>
      <c r="F21" s="14">
        <v>998900</v>
      </c>
      <c r="G21" s="14"/>
    </row>
    <row r="22" spans="1:8" ht="18.75" customHeight="1" outlineLevel="2" x14ac:dyDescent="0.5">
      <c r="A22" s="3" t="s">
        <v>543</v>
      </c>
      <c r="B22" s="3" t="s">
        <v>519</v>
      </c>
      <c r="C22" s="3" t="s">
        <v>523</v>
      </c>
      <c r="D22" s="3" t="s">
        <v>545</v>
      </c>
      <c r="E22" s="14" t="s">
        <v>516</v>
      </c>
      <c r="F22" s="14">
        <v>315900</v>
      </c>
      <c r="G22" s="14"/>
    </row>
    <row r="23" spans="1:8" ht="18.75" customHeight="1" outlineLevel="2" x14ac:dyDescent="0.5">
      <c r="A23" s="3" t="s">
        <v>543</v>
      </c>
      <c r="B23" s="3" t="s">
        <v>513</v>
      </c>
      <c r="C23" s="3" t="s">
        <v>514</v>
      </c>
      <c r="D23" s="3" t="s">
        <v>546</v>
      </c>
      <c r="E23" s="14" t="s">
        <v>517</v>
      </c>
      <c r="F23" s="14">
        <v>209450</v>
      </c>
      <c r="G23" s="14"/>
    </row>
    <row r="24" spans="1:8" ht="18.75" customHeight="1" outlineLevel="2" x14ac:dyDescent="0.5">
      <c r="A24" s="3" t="s">
        <v>543</v>
      </c>
      <c r="B24" s="3" t="s">
        <v>519</v>
      </c>
      <c r="C24" s="3" t="s">
        <v>523</v>
      </c>
      <c r="D24" s="3" t="s">
        <v>521</v>
      </c>
      <c r="E24" s="14" t="s">
        <v>516</v>
      </c>
      <c r="F24" s="14">
        <v>314569</v>
      </c>
      <c r="G24" s="14"/>
    </row>
    <row r="25" spans="1:8" ht="18.75" customHeight="1" outlineLevel="1" x14ac:dyDescent="0.5">
      <c r="A25" s="4" t="s">
        <v>558</v>
      </c>
      <c r="B25" s="3"/>
      <c r="C25" s="3"/>
      <c r="D25" s="3"/>
      <c r="E25" s="14"/>
      <c r="F25" s="14">
        <f>SUBTOTAL(9,F19:F24)</f>
        <v>2480619</v>
      </c>
      <c r="G25" s="14"/>
    </row>
    <row r="26" spans="1:8" ht="18.75" customHeight="1" outlineLevel="2" x14ac:dyDescent="0.5">
      <c r="A26" s="3" t="s">
        <v>547</v>
      </c>
      <c r="B26" s="3" t="s">
        <v>513</v>
      </c>
      <c r="C26" s="3" t="s">
        <v>514</v>
      </c>
      <c r="D26" s="3" t="s">
        <v>525</v>
      </c>
      <c r="E26" s="14" t="s">
        <v>516</v>
      </c>
      <c r="F26" s="14">
        <v>151001</v>
      </c>
      <c r="G26" s="14"/>
    </row>
    <row r="27" spans="1:8" ht="18.75" customHeight="1" outlineLevel="2" x14ac:dyDescent="0.5">
      <c r="A27" s="3" t="s">
        <v>547</v>
      </c>
      <c r="B27" s="3" t="s">
        <v>513</v>
      </c>
      <c r="C27" s="3" t="s">
        <v>514</v>
      </c>
      <c r="D27" s="3" t="s">
        <v>525</v>
      </c>
      <c r="E27" s="14" t="s">
        <v>517</v>
      </c>
      <c r="F27" s="14">
        <v>569900</v>
      </c>
      <c r="G27" s="14"/>
    </row>
    <row r="28" spans="1:8" ht="18.75" customHeight="1" outlineLevel="2" x14ac:dyDescent="0.5">
      <c r="A28" s="3" t="s">
        <v>547</v>
      </c>
      <c r="B28" s="3" t="s">
        <v>528</v>
      </c>
      <c r="C28" s="3" t="s">
        <v>529</v>
      </c>
      <c r="D28" s="3" t="s">
        <v>515</v>
      </c>
      <c r="E28" s="14" t="s">
        <v>516</v>
      </c>
      <c r="F28" s="14">
        <v>450900</v>
      </c>
      <c r="G28" s="14"/>
    </row>
    <row r="29" spans="1:8" ht="18.75" customHeight="1" outlineLevel="2" x14ac:dyDescent="0.5">
      <c r="A29" s="3" t="s">
        <v>547</v>
      </c>
      <c r="B29" s="3" t="s">
        <v>528</v>
      </c>
      <c r="C29" s="3" t="s">
        <v>529</v>
      </c>
      <c r="D29" s="3" t="s">
        <v>515</v>
      </c>
      <c r="E29" s="14" t="s">
        <v>517</v>
      </c>
      <c r="F29" s="14">
        <v>890544</v>
      </c>
      <c r="G29" s="14"/>
    </row>
    <row r="30" spans="1:8" ht="18.75" customHeight="1" outlineLevel="2" x14ac:dyDescent="0.5">
      <c r="A30" s="3" t="s">
        <v>547</v>
      </c>
      <c r="B30" s="3" t="s">
        <v>532</v>
      </c>
      <c r="C30" s="3" t="s">
        <v>533</v>
      </c>
      <c r="D30" s="3" t="s">
        <v>548</v>
      </c>
      <c r="E30" s="14" t="s">
        <v>535</v>
      </c>
      <c r="F30" s="14">
        <v>900500</v>
      </c>
      <c r="G30" s="14"/>
    </row>
    <row r="31" spans="1:8" ht="18.75" customHeight="1" outlineLevel="1" x14ac:dyDescent="0.5">
      <c r="A31" s="4" t="s">
        <v>559</v>
      </c>
      <c r="B31" s="3"/>
      <c r="C31" s="3"/>
      <c r="D31" s="3"/>
      <c r="E31" s="14"/>
      <c r="F31" s="14">
        <f>SUBTOTAL(9,F26:F30)</f>
        <v>2962845</v>
      </c>
      <c r="G31" s="14"/>
    </row>
    <row r="32" spans="1:8" ht="18.75" customHeight="1" outlineLevel="2" x14ac:dyDescent="0.5">
      <c r="A32" s="3" t="s">
        <v>543</v>
      </c>
      <c r="B32" s="3" t="s">
        <v>528</v>
      </c>
      <c r="C32" s="3" t="s">
        <v>529</v>
      </c>
      <c r="D32" s="3" t="s">
        <v>515</v>
      </c>
      <c r="E32" s="14" t="s">
        <v>516</v>
      </c>
      <c r="F32" s="14">
        <v>133131</v>
      </c>
      <c r="G32" s="14"/>
    </row>
    <row r="33" spans="1:7" ht="18.75" customHeight="1" outlineLevel="1" x14ac:dyDescent="0.5">
      <c r="A33" s="4" t="s">
        <v>558</v>
      </c>
      <c r="B33" s="3"/>
      <c r="C33" s="3"/>
      <c r="D33" s="3"/>
      <c r="E33" s="14"/>
      <c r="F33" s="14">
        <f>SUBTOTAL(9,F32:F32)</f>
        <v>133131</v>
      </c>
      <c r="G33" s="14"/>
    </row>
    <row r="34" spans="1:7" ht="18.75" customHeight="1" outlineLevel="2" x14ac:dyDescent="0.5">
      <c r="A34" s="3" t="s">
        <v>512</v>
      </c>
      <c r="B34" s="3" t="s">
        <v>532</v>
      </c>
      <c r="C34" s="3" t="s">
        <v>533</v>
      </c>
      <c r="D34" s="3" t="s">
        <v>548</v>
      </c>
      <c r="E34" s="14" t="s">
        <v>535</v>
      </c>
      <c r="F34" s="14">
        <v>115000</v>
      </c>
      <c r="G34" s="14"/>
    </row>
    <row r="35" spans="1:7" ht="18.75" customHeight="1" outlineLevel="1" x14ac:dyDescent="0.5">
      <c r="A35" s="4" t="s">
        <v>557</v>
      </c>
      <c r="B35" s="3"/>
      <c r="C35" s="3"/>
      <c r="D35" s="3"/>
      <c r="E35" s="14"/>
      <c r="F35" s="14">
        <f>SUBTOTAL(9,F34:F34)</f>
        <v>115000</v>
      </c>
      <c r="G35" s="14"/>
    </row>
    <row r="36" spans="1:7" ht="18.75" customHeight="1" outlineLevel="2" x14ac:dyDescent="0.5">
      <c r="A36" s="3" t="s">
        <v>549</v>
      </c>
      <c r="B36" s="3" t="s">
        <v>532</v>
      </c>
      <c r="C36" s="3" t="s">
        <v>533</v>
      </c>
      <c r="D36" s="3" t="s">
        <v>534</v>
      </c>
      <c r="E36" s="14" t="s">
        <v>535</v>
      </c>
      <c r="F36" s="14">
        <v>98750</v>
      </c>
      <c r="G36" s="14"/>
    </row>
    <row r="37" spans="1:7" ht="18.75" customHeight="1" outlineLevel="1" x14ac:dyDescent="0.5">
      <c r="A37" s="4" t="s">
        <v>560</v>
      </c>
      <c r="B37" s="3"/>
      <c r="C37" s="3"/>
      <c r="D37" s="3"/>
      <c r="E37" s="14"/>
      <c r="F37" s="14">
        <f>SUBTOTAL(9,F36:F36)</f>
        <v>98750</v>
      </c>
      <c r="G37" s="14"/>
    </row>
    <row r="38" spans="1:7" ht="18.75" customHeight="1" outlineLevel="2" x14ac:dyDescent="0.5">
      <c r="A38" s="3" t="s">
        <v>550</v>
      </c>
      <c r="B38" s="3" t="s">
        <v>519</v>
      </c>
      <c r="C38" s="3" t="s">
        <v>523</v>
      </c>
      <c r="D38" s="3" t="s">
        <v>521</v>
      </c>
      <c r="E38" s="3" t="s">
        <v>517</v>
      </c>
      <c r="F38" s="14">
        <v>314569</v>
      </c>
      <c r="G38" s="14"/>
    </row>
    <row r="39" spans="1:7" ht="18.75" customHeight="1" outlineLevel="2" x14ac:dyDescent="0.5">
      <c r="A39" s="3" t="s">
        <v>550</v>
      </c>
      <c r="B39" s="3" t="s">
        <v>513</v>
      </c>
      <c r="C39" s="3" t="s">
        <v>514</v>
      </c>
      <c r="D39" s="3" t="s">
        <v>525</v>
      </c>
      <c r="E39" s="3" t="s">
        <v>516</v>
      </c>
      <c r="F39" s="14">
        <v>151001</v>
      </c>
      <c r="G39" s="14"/>
    </row>
    <row r="40" spans="1:7" ht="18.75" customHeight="1" outlineLevel="2" x14ac:dyDescent="0.5">
      <c r="A40" s="3" t="s">
        <v>550</v>
      </c>
      <c r="B40" s="3" t="s">
        <v>513</v>
      </c>
      <c r="C40" s="3" t="s">
        <v>514</v>
      </c>
      <c r="D40" s="3" t="s">
        <v>525</v>
      </c>
      <c r="E40" s="3" t="s">
        <v>517</v>
      </c>
      <c r="F40" s="14">
        <v>850450</v>
      </c>
      <c r="G40" s="14"/>
    </row>
    <row r="41" spans="1:7" ht="18.75" customHeight="1" outlineLevel="2" x14ac:dyDescent="0.5">
      <c r="A41" s="3" t="s">
        <v>550</v>
      </c>
      <c r="B41" s="3" t="s">
        <v>528</v>
      </c>
      <c r="C41" s="3" t="s">
        <v>529</v>
      </c>
      <c r="D41" s="3" t="s">
        <v>515</v>
      </c>
      <c r="E41" s="3" t="s">
        <v>517</v>
      </c>
      <c r="F41" s="14">
        <v>790545</v>
      </c>
      <c r="G41" s="14"/>
    </row>
    <row r="42" spans="1:7" ht="18.75" customHeight="1" outlineLevel="2" x14ac:dyDescent="0.5">
      <c r="A42" s="3" t="s">
        <v>550</v>
      </c>
      <c r="B42" s="3" t="s">
        <v>519</v>
      </c>
      <c r="C42" s="3" t="s">
        <v>523</v>
      </c>
      <c r="D42" s="3" t="s">
        <v>521</v>
      </c>
      <c r="E42" s="3" t="s">
        <v>516</v>
      </c>
      <c r="F42" s="14">
        <v>650950</v>
      </c>
      <c r="G42" s="14"/>
    </row>
    <row r="43" spans="1:7" ht="18.75" customHeight="1" outlineLevel="1" x14ac:dyDescent="0.5">
      <c r="A43" s="4" t="s">
        <v>561</v>
      </c>
      <c r="B43" s="3"/>
      <c r="C43" s="3"/>
      <c r="D43" s="3"/>
      <c r="E43" s="3"/>
      <c r="F43" s="14">
        <f>SUBTOTAL(9,F38:F42)</f>
        <v>2757515</v>
      </c>
      <c r="G43" s="14"/>
    </row>
    <row r="44" spans="1:7" ht="18.75" customHeight="1" outlineLevel="2" x14ac:dyDescent="0.5">
      <c r="A44" s="3" t="s">
        <v>549</v>
      </c>
      <c r="B44" s="3" t="s">
        <v>528</v>
      </c>
      <c r="C44" s="3" t="s">
        <v>529</v>
      </c>
      <c r="D44" s="3" t="s">
        <v>515</v>
      </c>
      <c r="E44" s="3" t="s">
        <v>516</v>
      </c>
      <c r="F44" s="14">
        <v>133131</v>
      </c>
      <c r="G44" s="14"/>
    </row>
    <row r="45" spans="1:7" ht="18.75" customHeight="1" outlineLevel="2" x14ac:dyDescent="0.5">
      <c r="A45" s="3" t="s">
        <v>549</v>
      </c>
      <c r="B45" s="3" t="s">
        <v>532</v>
      </c>
      <c r="C45" s="3" t="s">
        <v>533</v>
      </c>
      <c r="D45" s="3" t="s">
        <v>548</v>
      </c>
      <c r="E45" s="3" t="s">
        <v>535</v>
      </c>
      <c r="F45" s="14">
        <v>199500</v>
      </c>
      <c r="G45" s="14"/>
    </row>
    <row r="46" spans="1:7" ht="18.75" customHeight="1" outlineLevel="2" x14ac:dyDescent="0.5">
      <c r="A46" s="3" t="s">
        <v>549</v>
      </c>
      <c r="B46" s="3" t="s">
        <v>532</v>
      </c>
      <c r="C46" s="3" t="s">
        <v>533</v>
      </c>
      <c r="D46" s="3" t="s">
        <v>551</v>
      </c>
      <c r="E46" s="3" t="s">
        <v>535</v>
      </c>
      <c r="F46" s="14">
        <v>122575</v>
      </c>
      <c r="G46" s="14"/>
    </row>
    <row r="47" spans="1:7" ht="18.75" customHeight="1" outlineLevel="1" x14ac:dyDescent="0.5">
      <c r="A47" s="4" t="s">
        <v>560</v>
      </c>
      <c r="B47" s="3"/>
      <c r="C47" s="3"/>
      <c r="D47" s="3"/>
      <c r="E47" s="3"/>
      <c r="F47" s="14">
        <f>SUBTOTAL(9,F44:F46)</f>
        <v>455206</v>
      </c>
      <c r="G47" s="14"/>
    </row>
    <row r="48" spans="1:7" ht="18.75" customHeight="1" outlineLevel="2" x14ac:dyDescent="0.5">
      <c r="A48" s="3" t="s">
        <v>552</v>
      </c>
      <c r="B48" s="3" t="s">
        <v>519</v>
      </c>
      <c r="C48" s="3" t="s">
        <v>523</v>
      </c>
      <c r="D48" s="3" t="s">
        <v>521</v>
      </c>
      <c r="E48" s="3" t="s">
        <v>517</v>
      </c>
      <c r="F48" s="14">
        <v>262450</v>
      </c>
      <c r="G48" s="14"/>
    </row>
    <row r="49" spans="1:7" ht="18.75" customHeight="1" outlineLevel="2" x14ac:dyDescent="0.5">
      <c r="A49" s="3" t="s">
        <v>552</v>
      </c>
      <c r="B49" s="3" t="s">
        <v>532</v>
      </c>
      <c r="C49" s="3" t="s">
        <v>533</v>
      </c>
      <c r="D49" s="3" t="s">
        <v>534</v>
      </c>
      <c r="E49" s="3" t="s">
        <v>535</v>
      </c>
      <c r="F49" s="14">
        <v>135450</v>
      </c>
      <c r="G49" s="14"/>
    </row>
    <row r="50" spans="1:7" ht="18.75" customHeight="1" outlineLevel="2" x14ac:dyDescent="0.5">
      <c r="A50" s="3" t="s">
        <v>552</v>
      </c>
      <c r="B50" s="3" t="s">
        <v>513</v>
      </c>
      <c r="C50" s="3" t="s">
        <v>514</v>
      </c>
      <c r="D50" s="3" t="s">
        <v>515</v>
      </c>
      <c r="E50" s="3" t="s">
        <v>517</v>
      </c>
      <c r="F50" s="14">
        <v>283930</v>
      </c>
      <c r="G50" s="14"/>
    </row>
    <row r="51" spans="1:7" ht="18.75" customHeight="1" outlineLevel="1" x14ac:dyDescent="0.5">
      <c r="A51" s="4" t="s">
        <v>562</v>
      </c>
      <c r="B51" s="3"/>
      <c r="C51" s="3"/>
      <c r="D51" s="3"/>
      <c r="E51" s="3"/>
      <c r="F51" s="14">
        <f>SUBTOTAL(9,F48:F50)</f>
        <v>681830</v>
      </c>
      <c r="G51" s="14"/>
    </row>
    <row r="52" spans="1:7" ht="18.75" customHeight="1" outlineLevel="2" x14ac:dyDescent="0.5">
      <c r="A52" s="3" t="s">
        <v>553</v>
      </c>
      <c r="B52" s="3" t="s">
        <v>528</v>
      </c>
      <c r="C52" s="3" t="s">
        <v>529</v>
      </c>
      <c r="D52" s="3" t="s">
        <v>515</v>
      </c>
      <c r="E52" s="3" t="s">
        <v>517</v>
      </c>
      <c r="F52" s="14">
        <v>364080</v>
      </c>
      <c r="G52" s="14"/>
    </row>
    <row r="53" spans="1:7" ht="18.75" customHeight="1" outlineLevel="1" x14ac:dyDescent="0.5">
      <c r="A53" s="4" t="s">
        <v>563</v>
      </c>
      <c r="B53" s="3"/>
      <c r="C53" s="3"/>
      <c r="D53" s="3"/>
      <c r="E53" s="3"/>
      <c r="F53" s="14">
        <f>SUBTOTAL(9,F52:F52)</f>
        <v>364080</v>
      </c>
      <c r="G53" s="14"/>
    </row>
    <row r="54" spans="1:7" ht="18.75" customHeight="1" outlineLevel="2" x14ac:dyDescent="0.5">
      <c r="A54" s="3" t="s">
        <v>554</v>
      </c>
      <c r="B54" s="3" t="s">
        <v>528</v>
      </c>
      <c r="C54" s="3" t="s">
        <v>529</v>
      </c>
      <c r="D54" s="3" t="s">
        <v>515</v>
      </c>
      <c r="E54" s="3" t="s">
        <v>517</v>
      </c>
      <c r="F54" s="14">
        <v>524440</v>
      </c>
      <c r="G54" s="14"/>
    </row>
    <row r="55" spans="1:7" ht="18.75" customHeight="1" outlineLevel="1" x14ac:dyDescent="0.5">
      <c r="A55" s="4" t="s">
        <v>564</v>
      </c>
      <c r="B55" s="3"/>
      <c r="C55" s="3"/>
      <c r="D55" s="3"/>
      <c r="E55" s="3"/>
      <c r="F55" s="14">
        <f>SUBTOTAL(9,F54:F54)</f>
        <v>524440</v>
      </c>
      <c r="G55" s="14"/>
    </row>
    <row r="56" spans="1:7" ht="18.75" customHeight="1" outlineLevel="2" x14ac:dyDescent="0.5">
      <c r="A56" s="3" t="s">
        <v>555</v>
      </c>
      <c r="B56" s="3" t="s">
        <v>528</v>
      </c>
      <c r="C56" s="3" t="s">
        <v>529</v>
      </c>
      <c r="D56" s="3" t="s">
        <v>515</v>
      </c>
      <c r="E56" s="3" t="s">
        <v>517</v>
      </c>
      <c r="F56" s="14">
        <v>335900</v>
      </c>
      <c r="G56" s="14"/>
    </row>
    <row r="57" spans="1:7" ht="18.75" customHeight="1" outlineLevel="2" x14ac:dyDescent="0.5">
      <c r="A57" s="3" t="s">
        <v>555</v>
      </c>
      <c r="B57" s="3" t="s">
        <v>513</v>
      </c>
      <c r="C57" s="3" t="s">
        <v>514</v>
      </c>
      <c r="D57" s="3" t="s">
        <v>525</v>
      </c>
      <c r="E57" s="3" t="s">
        <v>516</v>
      </c>
      <c r="F57" s="14">
        <v>433689</v>
      </c>
      <c r="G57" s="14"/>
    </row>
    <row r="58" spans="1:7" ht="18.75" customHeight="1" outlineLevel="2" x14ac:dyDescent="0.5">
      <c r="A58" s="3" t="s">
        <v>555</v>
      </c>
      <c r="B58" s="3" t="s">
        <v>538</v>
      </c>
      <c r="C58" s="3" t="s">
        <v>539</v>
      </c>
      <c r="D58" s="3" t="s">
        <v>540</v>
      </c>
      <c r="E58" s="3" t="s">
        <v>541</v>
      </c>
      <c r="F58" s="14">
        <v>349500</v>
      </c>
      <c r="G58" s="14"/>
    </row>
    <row r="59" spans="1:7" ht="18.75" customHeight="1" outlineLevel="1" x14ac:dyDescent="0.5">
      <c r="A59" s="4" t="s">
        <v>565</v>
      </c>
      <c r="B59" s="3"/>
      <c r="C59" s="3"/>
      <c r="D59" s="3"/>
      <c r="E59" s="3"/>
      <c r="F59" s="14">
        <f>SUBTOTAL(9,F56:F58)</f>
        <v>1119089</v>
      </c>
      <c r="G59" s="14"/>
    </row>
    <row r="60" spans="1:7" ht="18.75" customHeight="1" x14ac:dyDescent="0.5">
      <c r="A60" s="4" t="s">
        <v>566</v>
      </c>
      <c r="B60" s="3"/>
      <c r="C60" s="3"/>
      <c r="D60" s="3"/>
      <c r="E60" s="3"/>
      <c r="F60" s="14">
        <f>SUBTOTAL(9,F7:F58)</f>
        <v>15622381</v>
      </c>
      <c r="G60" s="14"/>
    </row>
    <row r="61" spans="1:7" ht="18.75" customHeight="1" x14ac:dyDescent="0.45">
      <c r="C61" s="66"/>
      <c r="D61" s="66"/>
    </row>
    <row r="62" spans="1:7" ht="18.75" customHeight="1" x14ac:dyDescent="0.45">
      <c r="C62" s="66"/>
      <c r="D62" s="66"/>
    </row>
    <row r="63" spans="1:7" ht="18.75" customHeight="1" x14ac:dyDescent="0.45">
      <c r="C63" s="66"/>
      <c r="D63" s="66"/>
    </row>
    <row r="64" spans="1:7" ht="18.75" customHeight="1" x14ac:dyDescent="0.45">
      <c r="C64" s="66"/>
      <c r="D64" s="66"/>
    </row>
    <row r="65" spans="3:4" ht="18.75" customHeight="1" x14ac:dyDescent="0.45">
      <c r="C65" s="66"/>
      <c r="D65" s="66"/>
    </row>
    <row r="66" spans="3:4" ht="18.75" customHeight="1" x14ac:dyDescent="0.45">
      <c r="C66" s="66"/>
      <c r="D66" s="66"/>
    </row>
    <row r="67" spans="3:4" ht="18.75" customHeight="1" x14ac:dyDescent="0.45">
      <c r="C67" s="66"/>
      <c r="D67" s="66"/>
    </row>
    <row r="68" spans="3:4" ht="18.75" customHeight="1" x14ac:dyDescent="0.45">
      <c r="C68" s="66"/>
      <c r="D68" s="66"/>
    </row>
    <row r="69" spans="3:4" ht="18.75" customHeight="1" x14ac:dyDescent="0.45">
      <c r="C69" s="66"/>
      <c r="D69" s="66"/>
    </row>
    <row r="70" spans="3:4" ht="18.75" customHeight="1" x14ac:dyDescent="0.45">
      <c r="C70" s="66"/>
      <c r="D70" s="66"/>
    </row>
    <row r="71" spans="3:4" ht="18.75" customHeight="1" x14ac:dyDescent="0.45">
      <c r="C71" s="66"/>
      <c r="D71" s="66"/>
    </row>
    <row r="72" spans="3:4" ht="18.75" customHeight="1" x14ac:dyDescent="0.45">
      <c r="C72" s="66"/>
      <c r="D72" s="66"/>
    </row>
    <row r="73" spans="3:4" ht="18.75" customHeight="1" x14ac:dyDescent="0.45">
      <c r="C73" s="66"/>
      <c r="D73" s="66"/>
    </row>
    <row r="74" spans="3:4" ht="18.75" customHeight="1" x14ac:dyDescent="0.45">
      <c r="C74" s="66"/>
      <c r="D74" s="66"/>
    </row>
    <row r="75" spans="3:4" ht="18.75" customHeight="1" x14ac:dyDescent="0.45">
      <c r="C75" s="66"/>
      <c r="D75" s="66"/>
    </row>
    <row r="76" spans="3:4" ht="18.75" customHeight="1" x14ac:dyDescent="0.45">
      <c r="C76" s="66"/>
      <c r="D76" s="66"/>
    </row>
    <row r="77" spans="3:4" ht="18.75" customHeight="1" x14ac:dyDescent="0.45">
      <c r="C77" s="66"/>
      <c r="D77" s="66"/>
    </row>
    <row r="78" spans="3:4" ht="18.75" customHeight="1" x14ac:dyDescent="0.45">
      <c r="C78" s="66"/>
      <c r="D78" s="66"/>
    </row>
    <row r="79" spans="3:4" ht="18.75" customHeight="1" x14ac:dyDescent="0.45">
      <c r="C79" s="66"/>
      <c r="D79" s="66"/>
    </row>
    <row r="80" spans="3:4" ht="18.75" customHeight="1" x14ac:dyDescent="0.45">
      <c r="C80" s="66"/>
      <c r="D80" s="66"/>
    </row>
    <row r="81" spans="3:4" ht="18.75" customHeight="1" x14ac:dyDescent="0.45">
      <c r="C81" s="66"/>
      <c r="D81" s="66"/>
    </row>
    <row r="82" spans="3:4" ht="18.75" customHeight="1" x14ac:dyDescent="0.45">
      <c r="C82" s="66"/>
      <c r="D82" s="66"/>
    </row>
    <row r="83" spans="3:4" ht="18.75" customHeight="1" x14ac:dyDescent="0.45">
      <c r="C83" s="66"/>
      <c r="D83" s="66"/>
    </row>
    <row r="84" spans="3:4" ht="18.75" customHeight="1" x14ac:dyDescent="0.45">
      <c r="C84" s="66"/>
      <c r="D84" s="66"/>
    </row>
    <row r="85" spans="3:4" ht="18.75" customHeight="1" x14ac:dyDescent="0.45">
      <c r="C85" s="66"/>
      <c r="D85" s="66"/>
    </row>
    <row r="86" spans="3:4" ht="18.75" customHeight="1" x14ac:dyDescent="0.45">
      <c r="C86" s="66"/>
      <c r="D86" s="66"/>
    </row>
    <row r="87" spans="3:4" ht="18.75" customHeight="1" x14ac:dyDescent="0.45">
      <c r="C87" s="66"/>
      <c r="D87" s="66"/>
    </row>
    <row r="88" spans="3:4" ht="18.75" customHeight="1" x14ac:dyDescent="0.45">
      <c r="C88" s="66"/>
      <c r="D88" s="66"/>
    </row>
    <row r="89" spans="3:4" ht="18.75" customHeight="1" x14ac:dyDescent="0.45">
      <c r="C89" s="66"/>
      <c r="D89" s="66"/>
    </row>
    <row r="90" spans="3:4" ht="18.75" customHeight="1" x14ac:dyDescent="0.45">
      <c r="C90" s="66"/>
      <c r="D90" s="66"/>
    </row>
    <row r="91" spans="3:4" ht="18.75" customHeight="1" x14ac:dyDescent="0.45">
      <c r="C91" s="66"/>
      <c r="D91" s="66"/>
    </row>
    <row r="92" spans="3:4" ht="18.75" customHeight="1" x14ac:dyDescent="0.45">
      <c r="C92" s="66"/>
      <c r="D92" s="66"/>
    </row>
    <row r="93" spans="3:4" ht="18.75" customHeight="1" x14ac:dyDescent="0.45">
      <c r="C93" s="66"/>
      <c r="D93" s="66"/>
    </row>
    <row r="94" spans="3:4" ht="18.75" customHeight="1" x14ac:dyDescent="0.45">
      <c r="C94" s="66"/>
      <c r="D94" s="66"/>
    </row>
    <row r="95" spans="3:4" ht="18.75" customHeight="1" x14ac:dyDescent="0.45">
      <c r="C95" s="66"/>
      <c r="D95" s="66"/>
    </row>
    <row r="96" spans="3:4" ht="18.75" customHeight="1" x14ac:dyDescent="0.45">
      <c r="C96" s="66"/>
      <c r="D96" s="66"/>
    </row>
    <row r="97" spans="3:4" ht="18.75" customHeight="1" x14ac:dyDescent="0.45">
      <c r="C97" s="66"/>
      <c r="D97" s="66"/>
    </row>
    <row r="98" spans="3:4" ht="18.75" customHeight="1" x14ac:dyDescent="0.45">
      <c r="C98" s="66"/>
      <c r="D98" s="66"/>
    </row>
    <row r="99" spans="3:4" ht="18.75" customHeight="1" x14ac:dyDescent="0.45">
      <c r="C99" s="66"/>
      <c r="D99" s="66"/>
    </row>
    <row r="100" spans="3:4" ht="18.75" customHeight="1" x14ac:dyDescent="0.45">
      <c r="C100" s="66"/>
      <c r="D100" s="66"/>
    </row>
    <row r="101" spans="3:4" ht="18.75" customHeight="1" x14ac:dyDescent="0.45">
      <c r="C101" s="66"/>
      <c r="D101" s="66"/>
    </row>
    <row r="102" spans="3:4" ht="18.75" customHeight="1" x14ac:dyDescent="0.45">
      <c r="C102" s="66"/>
      <c r="D102" s="66"/>
    </row>
    <row r="103" spans="3:4" ht="18.75" customHeight="1" x14ac:dyDescent="0.45">
      <c r="C103" s="66"/>
      <c r="D103" s="66"/>
    </row>
    <row r="104" spans="3:4" ht="18.75" customHeight="1" x14ac:dyDescent="0.45">
      <c r="C104" s="66"/>
      <c r="D104" s="66"/>
    </row>
    <row r="105" spans="3:4" ht="18.75" customHeight="1" x14ac:dyDescent="0.45">
      <c r="C105" s="66"/>
      <c r="D105" s="66"/>
    </row>
    <row r="106" spans="3:4" ht="18.75" customHeight="1" x14ac:dyDescent="0.45">
      <c r="C106" s="66"/>
      <c r="D106" s="66"/>
    </row>
    <row r="107" spans="3:4" ht="18.75" customHeight="1" x14ac:dyDescent="0.45">
      <c r="C107" s="66"/>
      <c r="D107" s="66"/>
    </row>
    <row r="108" spans="3:4" ht="18.75" customHeight="1" x14ac:dyDescent="0.45">
      <c r="C108" s="66"/>
      <c r="D108" s="66"/>
    </row>
    <row r="109" spans="3:4" ht="18.75" customHeight="1" x14ac:dyDescent="0.45">
      <c r="C109" s="66"/>
      <c r="D109" s="66"/>
    </row>
    <row r="110" spans="3:4" ht="18.75" customHeight="1" x14ac:dyDescent="0.45">
      <c r="C110" s="66"/>
      <c r="D110" s="66"/>
    </row>
    <row r="111" spans="3:4" ht="18.75" customHeight="1" x14ac:dyDescent="0.45">
      <c r="C111" s="66"/>
      <c r="D111" s="66"/>
    </row>
    <row r="112" spans="3:4" ht="18.75" customHeight="1" x14ac:dyDescent="0.45">
      <c r="C112" s="66"/>
      <c r="D112" s="66"/>
    </row>
    <row r="113" spans="3:4" ht="18.75" customHeight="1" x14ac:dyDescent="0.45">
      <c r="C113" s="66"/>
      <c r="D113" s="66"/>
    </row>
    <row r="114" spans="3:4" ht="18.75" customHeight="1" x14ac:dyDescent="0.45">
      <c r="C114" s="66"/>
      <c r="D114" s="66"/>
    </row>
    <row r="115" spans="3:4" ht="18.75" customHeight="1" x14ac:dyDescent="0.45">
      <c r="C115" s="66"/>
      <c r="D115" s="66"/>
    </row>
    <row r="116" spans="3:4" ht="18.75" customHeight="1" x14ac:dyDescent="0.45">
      <c r="C116" s="66"/>
      <c r="D116" s="66"/>
    </row>
    <row r="117" spans="3:4" ht="18.75" customHeight="1" x14ac:dyDescent="0.45">
      <c r="C117" s="66"/>
      <c r="D117" s="66"/>
    </row>
    <row r="118" spans="3:4" ht="18.75" customHeight="1" x14ac:dyDescent="0.45">
      <c r="C118" s="66"/>
      <c r="D118" s="66"/>
    </row>
    <row r="119" spans="3:4" ht="18.75" customHeight="1" x14ac:dyDescent="0.45">
      <c r="C119" s="66"/>
      <c r="D119" s="66"/>
    </row>
    <row r="120" spans="3:4" ht="18.75" customHeight="1" x14ac:dyDescent="0.45">
      <c r="C120" s="66"/>
      <c r="D120" s="66"/>
    </row>
    <row r="121" spans="3:4" ht="18.75" customHeight="1" x14ac:dyDescent="0.45">
      <c r="C121" s="66"/>
      <c r="D121" s="66"/>
    </row>
    <row r="122" spans="3:4" ht="18.75" customHeight="1" x14ac:dyDescent="0.45">
      <c r="C122" s="66"/>
      <c r="D122" s="66"/>
    </row>
    <row r="123" spans="3:4" ht="18.75" customHeight="1" x14ac:dyDescent="0.45">
      <c r="C123" s="66"/>
      <c r="D123" s="66"/>
    </row>
    <row r="124" spans="3:4" ht="18.75" customHeight="1" x14ac:dyDescent="0.45">
      <c r="C124" s="66"/>
      <c r="D124" s="66"/>
    </row>
    <row r="125" spans="3:4" ht="18.75" customHeight="1" x14ac:dyDescent="0.45">
      <c r="C125" s="66"/>
      <c r="D125" s="66"/>
    </row>
    <row r="126" spans="3:4" ht="18.75" customHeight="1" x14ac:dyDescent="0.45">
      <c r="C126" s="66"/>
      <c r="D126" s="66"/>
    </row>
    <row r="127" spans="3:4" ht="18.75" customHeight="1" x14ac:dyDescent="0.45">
      <c r="C127" s="66"/>
      <c r="D127" s="66"/>
    </row>
    <row r="128" spans="3:4" ht="18.75" customHeight="1" x14ac:dyDescent="0.45">
      <c r="C128" s="66"/>
      <c r="D128" s="66"/>
    </row>
    <row r="129" spans="3:4" ht="18.75" customHeight="1" x14ac:dyDescent="0.45">
      <c r="C129" s="66"/>
      <c r="D129" s="66"/>
    </row>
    <row r="130" spans="3:4" ht="18.75" customHeight="1" x14ac:dyDescent="0.45">
      <c r="C130" s="66"/>
      <c r="D130" s="66"/>
    </row>
    <row r="131" spans="3:4" ht="18.75" customHeight="1" x14ac:dyDescent="0.45">
      <c r="C131" s="66"/>
      <c r="D131" s="66"/>
    </row>
    <row r="132" spans="3:4" ht="18.75" customHeight="1" x14ac:dyDescent="0.45">
      <c r="C132" s="66"/>
      <c r="D132" s="66"/>
    </row>
    <row r="133" spans="3:4" ht="18.75" customHeight="1" x14ac:dyDescent="0.45">
      <c r="C133" s="66"/>
      <c r="D133" s="66"/>
    </row>
    <row r="134" spans="3:4" ht="18.75" customHeight="1" x14ac:dyDescent="0.45">
      <c r="C134" s="66"/>
      <c r="D134" s="66"/>
    </row>
    <row r="135" spans="3:4" ht="18.75" customHeight="1" x14ac:dyDescent="0.45">
      <c r="C135" s="66"/>
      <c r="D135" s="66"/>
    </row>
    <row r="136" spans="3:4" ht="18.75" customHeight="1" x14ac:dyDescent="0.45">
      <c r="C136" s="66"/>
      <c r="D136" s="66"/>
    </row>
    <row r="137" spans="3:4" ht="18.75" customHeight="1" x14ac:dyDescent="0.45">
      <c r="C137" s="66"/>
      <c r="D137" s="66"/>
    </row>
    <row r="138" spans="3:4" ht="18.75" customHeight="1" x14ac:dyDescent="0.45">
      <c r="C138" s="66"/>
      <c r="D138" s="66"/>
    </row>
    <row r="139" spans="3:4" ht="18.75" customHeight="1" x14ac:dyDescent="0.45">
      <c r="C139" s="66"/>
      <c r="D139" s="66"/>
    </row>
    <row r="140" spans="3:4" ht="18.75" customHeight="1" x14ac:dyDescent="0.45">
      <c r="C140" s="66"/>
      <c r="D140" s="66"/>
    </row>
    <row r="141" spans="3:4" ht="18.75" customHeight="1" x14ac:dyDescent="0.45">
      <c r="C141" s="66"/>
      <c r="D141" s="66"/>
    </row>
    <row r="142" spans="3:4" ht="18.75" customHeight="1" x14ac:dyDescent="0.45">
      <c r="C142" s="66"/>
      <c r="D142" s="66"/>
    </row>
    <row r="143" spans="3:4" ht="18.75" customHeight="1" x14ac:dyDescent="0.45">
      <c r="C143" s="66"/>
      <c r="D143" s="66"/>
    </row>
    <row r="144" spans="3:4" ht="18.75" customHeight="1" x14ac:dyDescent="0.45">
      <c r="C144" s="66"/>
      <c r="D144" s="66"/>
    </row>
    <row r="145" spans="3:4" ht="18.75" customHeight="1" x14ac:dyDescent="0.45">
      <c r="C145" s="66"/>
      <c r="D145" s="66"/>
    </row>
    <row r="146" spans="3:4" ht="18.75" customHeight="1" x14ac:dyDescent="0.45">
      <c r="C146" s="66"/>
      <c r="D146" s="66"/>
    </row>
    <row r="147" spans="3:4" ht="18.75" customHeight="1" x14ac:dyDescent="0.45">
      <c r="C147" s="66"/>
      <c r="D147" s="66"/>
    </row>
    <row r="148" spans="3:4" ht="18.75" customHeight="1" x14ac:dyDescent="0.45">
      <c r="C148" s="66"/>
      <c r="D148" s="66"/>
    </row>
    <row r="149" spans="3:4" ht="18.75" customHeight="1" x14ac:dyDescent="0.45">
      <c r="C149" s="66"/>
      <c r="D149" s="66"/>
    </row>
    <row r="150" spans="3:4" ht="18.75" customHeight="1" x14ac:dyDescent="0.45">
      <c r="C150" s="66"/>
      <c r="D150" s="66"/>
    </row>
    <row r="151" spans="3:4" ht="18.75" customHeight="1" x14ac:dyDescent="0.45">
      <c r="C151" s="66"/>
      <c r="D151" s="66"/>
    </row>
    <row r="152" spans="3:4" ht="18.75" customHeight="1" x14ac:dyDescent="0.45">
      <c r="C152" s="66"/>
      <c r="D152" s="66"/>
    </row>
    <row r="153" spans="3:4" ht="18.75" customHeight="1" x14ac:dyDescent="0.45">
      <c r="C153" s="66"/>
      <c r="D153" s="66"/>
    </row>
    <row r="154" spans="3:4" ht="18.75" customHeight="1" x14ac:dyDescent="0.45">
      <c r="C154" s="66"/>
      <c r="D154" s="66"/>
    </row>
    <row r="155" spans="3:4" ht="18.75" customHeight="1" x14ac:dyDescent="0.45">
      <c r="C155" s="66"/>
      <c r="D155" s="66"/>
    </row>
    <row r="156" spans="3:4" ht="18.75" customHeight="1" x14ac:dyDescent="0.45">
      <c r="C156" s="66"/>
      <c r="D156" s="66"/>
    </row>
    <row r="157" spans="3:4" ht="18.75" customHeight="1" x14ac:dyDescent="0.45">
      <c r="C157" s="66"/>
      <c r="D157" s="66"/>
    </row>
    <row r="158" spans="3:4" ht="18.75" customHeight="1" x14ac:dyDescent="0.45">
      <c r="C158" s="66"/>
      <c r="D158" s="66"/>
    </row>
    <row r="159" spans="3:4" ht="18.75" customHeight="1" x14ac:dyDescent="0.45">
      <c r="C159" s="66"/>
      <c r="D159" s="66"/>
    </row>
    <row r="160" spans="3:4" ht="18.75" customHeight="1" x14ac:dyDescent="0.45">
      <c r="C160" s="66"/>
      <c r="D160" s="66"/>
    </row>
    <row r="161" spans="3:4" ht="18.75" customHeight="1" x14ac:dyDescent="0.45">
      <c r="C161" s="66"/>
      <c r="D161" s="66"/>
    </row>
    <row r="162" spans="3:4" ht="18.75" customHeight="1" x14ac:dyDescent="0.45">
      <c r="C162" s="66"/>
      <c r="D162" s="66"/>
    </row>
    <row r="163" spans="3:4" ht="18.75" customHeight="1" x14ac:dyDescent="0.45">
      <c r="C163" s="66"/>
      <c r="D163" s="66"/>
    </row>
    <row r="164" spans="3:4" ht="18.75" customHeight="1" x14ac:dyDescent="0.45">
      <c r="C164" s="66"/>
      <c r="D164" s="66"/>
    </row>
    <row r="165" spans="3:4" ht="18.75" customHeight="1" x14ac:dyDescent="0.45">
      <c r="C165" s="66"/>
      <c r="D165" s="66"/>
    </row>
    <row r="166" spans="3:4" ht="18.75" customHeight="1" x14ac:dyDescent="0.45">
      <c r="C166" s="66"/>
      <c r="D166" s="66"/>
    </row>
    <row r="167" spans="3:4" ht="18.75" customHeight="1" x14ac:dyDescent="0.45">
      <c r="C167" s="66"/>
      <c r="D167" s="66"/>
    </row>
    <row r="168" spans="3:4" ht="18.75" customHeight="1" x14ac:dyDescent="0.45">
      <c r="C168" s="66"/>
      <c r="D168" s="66"/>
    </row>
    <row r="169" spans="3:4" ht="18.75" customHeight="1" x14ac:dyDescent="0.45">
      <c r="C169" s="66"/>
      <c r="D169" s="66"/>
    </row>
    <row r="170" spans="3:4" ht="18.75" customHeight="1" x14ac:dyDescent="0.45">
      <c r="C170" s="66"/>
      <c r="D170" s="66"/>
    </row>
    <row r="171" spans="3:4" ht="18.75" customHeight="1" x14ac:dyDescent="0.45">
      <c r="C171" s="66"/>
      <c r="D171" s="66"/>
    </row>
    <row r="172" spans="3:4" ht="18.75" customHeight="1" x14ac:dyDescent="0.45">
      <c r="C172" s="66"/>
      <c r="D172" s="66"/>
    </row>
    <row r="173" spans="3:4" ht="18.75" customHeight="1" x14ac:dyDescent="0.45">
      <c r="C173" s="66"/>
      <c r="D173" s="66"/>
    </row>
    <row r="174" spans="3:4" ht="18.75" customHeight="1" x14ac:dyDescent="0.45">
      <c r="C174" s="66"/>
      <c r="D174" s="66"/>
    </row>
    <row r="175" spans="3:4" ht="18.75" customHeight="1" x14ac:dyDescent="0.45">
      <c r="C175" s="66"/>
      <c r="D175" s="66"/>
    </row>
    <row r="176" spans="3:4" ht="18.75" customHeight="1" x14ac:dyDescent="0.45">
      <c r="C176" s="66"/>
      <c r="D176" s="66"/>
    </row>
    <row r="177" spans="3:4" ht="18.75" customHeight="1" x14ac:dyDescent="0.45">
      <c r="C177" s="66"/>
      <c r="D177" s="66"/>
    </row>
    <row r="178" spans="3:4" ht="18.75" customHeight="1" x14ac:dyDescent="0.45">
      <c r="C178" s="66"/>
      <c r="D178" s="66"/>
    </row>
    <row r="179" spans="3:4" ht="18.75" customHeight="1" x14ac:dyDescent="0.45">
      <c r="C179" s="66"/>
      <c r="D179" s="66"/>
    </row>
    <row r="180" spans="3:4" ht="18.75" customHeight="1" x14ac:dyDescent="0.45">
      <c r="C180" s="66"/>
      <c r="D180" s="66"/>
    </row>
    <row r="181" spans="3:4" ht="18.75" customHeight="1" x14ac:dyDescent="0.45">
      <c r="C181" s="66"/>
      <c r="D181" s="66"/>
    </row>
    <row r="182" spans="3:4" ht="18.75" customHeight="1" x14ac:dyDescent="0.45">
      <c r="C182" s="66"/>
      <c r="D182" s="66"/>
    </row>
    <row r="183" spans="3:4" ht="18.75" customHeight="1" x14ac:dyDescent="0.45">
      <c r="C183" s="66"/>
      <c r="D183" s="66"/>
    </row>
    <row r="184" spans="3:4" ht="18.75" customHeight="1" x14ac:dyDescent="0.45">
      <c r="C184" s="66"/>
      <c r="D184" s="66"/>
    </row>
    <row r="185" spans="3:4" ht="18.75" customHeight="1" x14ac:dyDescent="0.45">
      <c r="C185" s="66"/>
      <c r="D185" s="66"/>
    </row>
    <row r="186" spans="3:4" ht="18.75" customHeight="1" x14ac:dyDescent="0.45">
      <c r="C186" s="66"/>
      <c r="D186" s="66"/>
    </row>
    <row r="187" spans="3:4" ht="18.75" customHeight="1" x14ac:dyDescent="0.45">
      <c r="C187" s="66"/>
      <c r="D187" s="66"/>
    </row>
    <row r="188" spans="3:4" ht="18.75" customHeight="1" x14ac:dyDescent="0.45">
      <c r="C188" s="66"/>
      <c r="D188" s="66"/>
    </row>
    <row r="189" spans="3:4" ht="18.75" customHeight="1" x14ac:dyDescent="0.45">
      <c r="C189" s="66"/>
      <c r="D189" s="66"/>
    </row>
    <row r="190" spans="3:4" ht="18.75" customHeight="1" x14ac:dyDescent="0.45">
      <c r="C190" s="66"/>
      <c r="D190" s="66"/>
    </row>
    <row r="191" spans="3:4" ht="18.75" customHeight="1" x14ac:dyDescent="0.45">
      <c r="C191" s="66"/>
      <c r="D191" s="66"/>
    </row>
    <row r="192" spans="3:4" ht="18.75" customHeight="1" x14ac:dyDescent="0.45">
      <c r="C192" s="66"/>
      <c r="D192" s="66"/>
    </row>
    <row r="193" spans="3:4" ht="18.75" customHeight="1" x14ac:dyDescent="0.45">
      <c r="C193" s="66"/>
      <c r="D193" s="66"/>
    </row>
    <row r="194" spans="3:4" ht="18.75" customHeight="1" x14ac:dyDescent="0.45">
      <c r="C194" s="66"/>
      <c r="D194" s="66"/>
    </row>
    <row r="195" spans="3:4" ht="18.75" customHeight="1" x14ac:dyDescent="0.45">
      <c r="C195" s="66"/>
      <c r="D195" s="66"/>
    </row>
    <row r="196" spans="3:4" ht="18.75" customHeight="1" x14ac:dyDescent="0.45">
      <c r="C196" s="66"/>
      <c r="D196" s="66"/>
    </row>
    <row r="197" spans="3:4" ht="18.75" customHeight="1" x14ac:dyDescent="0.45">
      <c r="C197" s="66"/>
      <c r="D197" s="66"/>
    </row>
    <row r="198" spans="3:4" ht="18.75" customHeight="1" x14ac:dyDescent="0.45">
      <c r="C198" s="66"/>
      <c r="D198" s="66"/>
    </row>
    <row r="199" spans="3:4" ht="18.75" customHeight="1" x14ac:dyDescent="0.45">
      <c r="C199" s="66"/>
      <c r="D199" s="66"/>
    </row>
    <row r="200" spans="3:4" ht="18.75" customHeight="1" x14ac:dyDescent="0.45">
      <c r="C200" s="66"/>
      <c r="D200" s="66"/>
    </row>
    <row r="201" spans="3:4" ht="18.75" customHeight="1" x14ac:dyDescent="0.45">
      <c r="C201" s="66"/>
      <c r="D201" s="66"/>
    </row>
    <row r="202" spans="3:4" ht="18.75" customHeight="1" x14ac:dyDescent="0.45">
      <c r="C202" s="66"/>
      <c r="D202" s="66"/>
    </row>
    <row r="203" spans="3:4" ht="18.75" customHeight="1" x14ac:dyDescent="0.45">
      <c r="C203" s="66"/>
      <c r="D203" s="66"/>
    </row>
    <row r="204" spans="3:4" ht="18.75" customHeight="1" x14ac:dyDescent="0.45">
      <c r="C204" s="66"/>
      <c r="D204" s="66"/>
    </row>
    <row r="205" spans="3:4" ht="18.75" customHeight="1" x14ac:dyDescent="0.45">
      <c r="C205" s="66"/>
      <c r="D205" s="66"/>
    </row>
    <row r="206" spans="3:4" ht="18.75" customHeight="1" x14ac:dyDescent="0.45">
      <c r="C206" s="66"/>
      <c r="D206" s="66"/>
    </row>
    <row r="207" spans="3:4" ht="18.75" customHeight="1" x14ac:dyDescent="0.45">
      <c r="C207" s="66"/>
      <c r="D207" s="66"/>
    </row>
    <row r="208" spans="3:4" ht="18.75" customHeight="1" x14ac:dyDescent="0.45">
      <c r="C208" s="66"/>
      <c r="D208" s="66"/>
    </row>
    <row r="209" spans="3:4" ht="18.75" customHeight="1" x14ac:dyDescent="0.45">
      <c r="C209" s="66"/>
      <c r="D209" s="66"/>
    </row>
    <row r="210" spans="3:4" ht="18.75" customHeight="1" x14ac:dyDescent="0.45">
      <c r="C210" s="66"/>
      <c r="D210" s="66"/>
    </row>
    <row r="211" spans="3:4" ht="18.75" customHeight="1" x14ac:dyDescent="0.45">
      <c r="C211" s="66"/>
      <c r="D211" s="66"/>
    </row>
    <row r="212" spans="3:4" ht="18.75" customHeight="1" x14ac:dyDescent="0.45">
      <c r="C212" s="66"/>
      <c r="D212" s="66"/>
    </row>
    <row r="213" spans="3:4" ht="18.75" customHeight="1" x14ac:dyDescent="0.45">
      <c r="C213" s="66"/>
      <c r="D213" s="66"/>
    </row>
    <row r="214" spans="3:4" ht="18.75" customHeight="1" x14ac:dyDescent="0.45">
      <c r="C214" s="66"/>
      <c r="D214" s="66"/>
    </row>
    <row r="215" spans="3:4" ht="18.75" customHeight="1" x14ac:dyDescent="0.45">
      <c r="C215" s="66"/>
      <c r="D215" s="66"/>
    </row>
    <row r="216" spans="3:4" ht="18.75" customHeight="1" x14ac:dyDescent="0.45">
      <c r="C216" s="66"/>
      <c r="D216" s="66"/>
    </row>
    <row r="217" spans="3:4" ht="18.75" customHeight="1" x14ac:dyDescent="0.45">
      <c r="C217" s="66"/>
      <c r="D217" s="66"/>
    </row>
    <row r="218" spans="3:4" ht="18.75" customHeight="1" x14ac:dyDescent="0.45">
      <c r="C218" s="66"/>
      <c r="D218" s="66"/>
    </row>
    <row r="219" spans="3:4" ht="18.75" customHeight="1" x14ac:dyDescent="0.45">
      <c r="C219" s="66"/>
      <c r="D219" s="66"/>
    </row>
    <row r="220" spans="3:4" ht="18.75" customHeight="1" x14ac:dyDescent="0.45">
      <c r="C220" s="66"/>
      <c r="D220" s="66"/>
    </row>
    <row r="221" spans="3:4" ht="18.75" customHeight="1" x14ac:dyDescent="0.45">
      <c r="C221" s="66"/>
      <c r="D221" s="66"/>
    </row>
    <row r="222" spans="3:4" ht="18.75" customHeight="1" x14ac:dyDescent="0.45">
      <c r="C222" s="66"/>
      <c r="D222" s="66"/>
    </row>
    <row r="223" spans="3:4" ht="18.75" customHeight="1" x14ac:dyDescent="0.45">
      <c r="C223" s="66"/>
      <c r="D223" s="66"/>
    </row>
    <row r="224" spans="3:4" ht="18.75" customHeight="1" x14ac:dyDescent="0.45">
      <c r="C224" s="66"/>
      <c r="D224" s="66"/>
    </row>
    <row r="225" spans="3:4" ht="18.75" customHeight="1" x14ac:dyDescent="0.45">
      <c r="C225" s="66"/>
      <c r="D225" s="66"/>
    </row>
    <row r="226" spans="3:4" ht="18.75" customHeight="1" x14ac:dyDescent="0.45">
      <c r="C226" s="66"/>
      <c r="D226" s="66"/>
    </row>
    <row r="227" spans="3:4" ht="18.75" customHeight="1" x14ac:dyDescent="0.45">
      <c r="C227" s="66"/>
      <c r="D227" s="66"/>
    </row>
    <row r="228" spans="3:4" ht="18.75" customHeight="1" x14ac:dyDescent="0.45">
      <c r="C228" s="66"/>
      <c r="D228" s="66"/>
    </row>
    <row r="229" spans="3:4" ht="18.75" customHeight="1" x14ac:dyDescent="0.45">
      <c r="C229" s="66"/>
      <c r="D229" s="66"/>
    </row>
    <row r="230" spans="3:4" ht="18.75" customHeight="1" x14ac:dyDescent="0.45">
      <c r="C230" s="66"/>
      <c r="D230" s="66"/>
    </row>
    <row r="231" spans="3:4" ht="18.75" customHeight="1" x14ac:dyDescent="0.45">
      <c r="C231" s="66"/>
      <c r="D231" s="66"/>
    </row>
    <row r="232" spans="3:4" ht="18.75" customHeight="1" x14ac:dyDescent="0.45">
      <c r="C232" s="66"/>
      <c r="D232" s="66"/>
    </row>
    <row r="233" spans="3:4" ht="18.75" customHeight="1" x14ac:dyDescent="0.45">
      <c r="C233" s="66"/>
      <c r="D233" s="66"/>
    </row>
    <row r="234" spans="3:4" ht="18.75" customHeight="1" x14ac:dyDescent="0.45">
      <c r="C234" s="66"/>
      <c r="D234" s="66"/>
    </row>
    <row r="235" spans="3:4" ht="18.75" customHeight="1" x14ac:dyDescent="0.45">
      <c r="C235" s="66"/>
      <c r="D235" s="66"/>
    </row>
    <row r="236" spans="3:4" ht="18.75" customHeight="1" x14ac:dyDescent="0.45">
      <c r="C236" s="66"/>
      <c r="D236" s="66"/>
    </row>
    <row r="237" spans="3:4" ht="18.75" customHeight="1" x14ac:dyDescent="0.45">
      <c r="C237" s="66"/>
      <c r="D237" s="66"/>
    </row>
    <row r="238" spans="3:4" ht="18.75" customHeight="1" x14ac:dyDescent="0.45">
      <c r="C238" s="66"/>
      <c r="D238" s="66"/>
    </row>
    <row r="239" spans="3:4" ht="18.75" customHeight="1" x14ac:dyDescent="0.45">
      <c r="C239" s="66"/>
      <c r="D239" s="66"/>
    </row>
    <row r="240" spans="3:4" ht="18.75" customHeight="1" x14ac:dyDescent="0.45">
      <c r="C240" s="66"/>
      <c r="D240" s="66"/>
    </row>
    <row r="241" spans="3:4" ht="18.75" customHeight="1" x14ac:dyDescent="0.45">
      <c r="C241" s="66"/>
      <c r="D241" s="66"/>
    </row>
    <row r="242" spans="3:4" ht="18.75" customHeight="1" x14ac:dyDescent="0.45">
      <c r="C242" s="66"/>
      <c r="D242" s="66"/>
    </row>
    <row r="243" spans="3:4" ht="18.75" customHeight="1" x14ac:dyDescent="0.45">
      <c r="C243" s="66"/>
      <c r="D243" s="66"/>
    </row>
    <row r="244" spans="3:4" ht="18.75" customHeight="1" x14ac:dyDescent="0.45">
      <c r="C244" s="66"/>
      <c r="D244" s="66"/>
    </row>
    <row r="245" spans="3:4" ht="18.75" customHeight="1" x14ac:dyDescent="0.45">
      <c r="C245" s="66"/>
      <c r="D245" s="66"/>
    </row>
    <row r="246" spans="3:4" ht="18.75" customHeight="1" x14ac:dyDescent="0.45">
      <c r="C246" s="66"/>
      <c r="D246" s="66"/>
    </row>
    <row r="247" spans="3:4" ht="18.75" customHeight="1" x14ac:dyDescent="0.45">
      <c r="C247" s="66"/>
      <c r="D247" s="66"/>
    </row>
    <row r="248" spans="3:4" ht="18.75" customHeight="1" x14ac:dyDescent="0.45">
      <c r="C248" s="66"/>
      <c r="D248" s="66"/>
    </row>
    <row r="249" spans="3:4" ht="18.75" customHeight="1" x14ac:dyDescent="0.45">
      <c r="C249" s="66"/>
      <c r="D249" s="66"/>
    </row>
    <row r="250" spans="3:4" ht="18.75" customHeight="1" x14ac:dyDescent="0.45">
      <c r="C250" s="66"/>
      <c r="D250" s="66"/>
    </row>
    <row r="251" spans="3:4" ht="18.75" customHeight="1" x14ac:dyDescent="0.45">
      <c r="C251" s="66"/>
      <c r="D251" s="66"/>
    </row>
    <row r="252" spans="3:4" ht="18.75" customHeight="1" x14ac:dyDescent="0.45">
      <c r="C252" s="66"/>
      <c r="D252" s="66"/>
    </row>
    <row r="253" spans="3:4" ht="18.75" customHeight="1" x14ac:dyDescent="0.45">
      <c r="C253" s="66"/>
      <c r="D253" s="66"/>
    </row>
    <row r="254" spans="3:4" ht="18.75" customHeight="1" x14ac:dyDescent="0.45">
      <c r="C254" s="66"/>
      <c r="D254" s="66"/>
    </row>
    <row r="255" spans="3:4" ht="18.75" customHeight="1" x14ac:dyDescent="0.45">
      <c r="C255" s="66"/>
      <c r="D255" s="66"/>
    </row>
    <row r="256" spans="3:4" ht="18.75" customHeight="1" x14ac:dyDescent="0.45">
      <c r="C256" s="66"/>
      <c r="D256" s="66"/>
    </row>
    <row r="257" spans="3:4" ht="18.75" customHeight="1" x14ac:dyDescent="0.45">
      <c r="C257" s="66"/>
      <c r="D257" s="66"/>
    </row>
    <row r="258" spans="3:4" ht="18.75" customHeight="1" x14ac:dyDescent="0.45">
      <c r="C258" s="66"/>
      <c r="D258" s="66"/>
    </row>
    <row r="259" spans="3:4" ht="18.75" customHeight="1" x14ac:dyDescent="0.45">
      <c r="C259" s="66"/>
      <c r="D259" s="66"/>
    </row>
    <row r="260" spans="3:4" ht="18.75" customHeight="1" x14ac:dyDescent="0.45">
      <c r="C260" s="66"/>
      <c r="D260" s="66"/>
    </row>
    <row r="261" spans="3:4" ht="18.75" customHeight="1" x14ac:dyDescent="0.45">
      <c r="C261" s="66"/>
      <c r="D261" s="66"/>
    </row>
    <row r="262" spans="3:4" ht="18.75" customHeight="1" x14ac:dyDescent="0.45">
      <c r="C262" s="66"/>
      <c r="D262" s="66"/>
    </row>
    <row r="263" spans="3:4" ht="18.75" customHeight="1" x14ac:dyDescent="0.45">
      <c r="C263" s="66"/>
      <c r="D263" s="66"/>
    </row>
    <row r="264" spans="3:4" ht="18.75" customHeight="1" x14ac:dyDescent="0.45">
      <c r="C264" s="66"/>
      <c r="D264" s="66"/>
    </row>
    <row r="265" spans="3:4" ht="18.75" customHeight="1" x14ac:dyDescent="0.45">
      <c r="C265" s="66"/>
      <c r="D265" s="66"/>
    </row>
    <row r="266" spans="3:4" ht="18.75" customHeight="1" x14ac:dyDescent="0.45">
      <c r="C266" s="66"/>
      <c r="D266" s="66"/>
    </row>
    <row r="267" spans="3:4" ht="18.75" customHeight="1" x14ac:dyDescent="0.45">
      <c r="C267" s="66"/>
      <c r="D267" s="66"/>
    </row>
    <row r="268" spans="3:4" ht="18.75" customHeight="1" x14ac:dyDescent="0.45">
      <c r="C268" s="66"/>
      <c r="D268" s="66"/>
    </row>
    <row r="269" spans="3:4" ht="18.75" customHeight="1" x14ac:dyDescent="0.45">
      <c r="C269" s="66"/>
      <c r="D269" s="66"/>
    </row>
    <row r="270" spans="3:4" ht="18.75" customHeight="1" x14ac:dyDescent="0.45">
      <c r="C270" s="66"/>
      <c r="D270" s="66"/>
    </row>
    <row r="271" spans="3:4" ht="18.75" customHeight="1" x14ac:dyDescent="0.45">
      <c r="C271" s="66"/>
      <c r="D271" s="66"/>
    </row>
    <row r="272" spans="3:4" ht="18.75" customHeight="1" x14ac:dyDescent="0.45">
      <c r="C272" s="66"/>
      <c r="D272" s="66"/>
    </row>
    <row r="273" spans="3:4" ht="18.75" customHeight="1" x14ac:dyDescent="0.45">
      <c r="C273" s="66"/>
      <c r="D273" s="66"/>
    </row>
    <row r="274" spans="3:4" ht="18.75" customHeight="1" x14ac:dyDescent="0.45">
      <c r="C274" s="66"/>
      <c r="D274" s="66"/>
    </row>
    <row r="275" spans="3:4" ht="18.75" customHeight="1" x14ac:dyDescent="0.45">
      <c r="C275" s="66"/>
      <c r="D275" s="66"/>
    </row>
    <row r="276" spans="3:4" ht="18.75" customHeight="1" x14ac:dyDescent="0.45">
      <c r="C276" s="66"/>
      <c r="D276" s="66"/>
    </row>
    <row r="277" spans="3:4" ht="18.75" customHeight="1" x14ac:dyDescent="0.45">
      <c r="C277" s="66"/>
      <c r="D277" s="66"/>
    </row>
    <row r="278" spans="3:4" ht="18.75" customHeight="1" x14ac:dyDescent="0.45">
      <c r="C278" s="66"/>
      <c r="D278" s="66"/>
    </row>
    <row r="279" spans="3:4" ht="18.75" customHeight="1" x14ac:dyDescent="0.45">
      <c r="C279" s="66"/>
      <c r="D279" s="66"/>
    </row>
    <row r="280" spans="3:4" ht="18.75" customHeight="1" x14ac:dyDescent="0.45">
      <c r="C280" s="66"/>
      <c r="D280" s="66"/>
    </row>
    <row r="281" spans="3:4" ht="18.75" customHeight="1" x14ac:dyDescent="0.45">
      <c r="C281" s="66"/>
      <c r="D281" s="66"/>
    </row>
    <row r="282" spans="3:4" ht="18.75" customHeight="1" x14ac:dyDescent="0.45">
      <c r="C282" s="66"/>
      <c r="D282" s="66"/>
    </row>
    <row r="283" spans="3:4" ht="18.75" customHeight="1" x14ac:dyDescent="0.45">
      <c r="C283" s="66"/>
      <c r="D283" s="66"/>
    </row>
    <row r="284" spans="3:4" ht="18.75" customHeight="1" x14ac:dyDescent="0.45">
      <c r="C284" s="66"/>
      <c r="D284" s="66"/>
    </row>
    <row r="285" spans="3:4" ht="18.75" customHeight="1" x14ac:dyDescent="0.45">
      <c r="C285" s="66"/>
      <c r="D285" s="66"/>
    </row>
    <row r="286" spans="3:4" ht="18.75" customHeight="1" x14ac:dyDescent="0.45">
      <c r="C286" s="66"/>
      <c r="D286" s="66"/>
    </row>
    <row r="287" spans="3:4" ht="18.75" customHeight="1" x14ac:dyDescent="0.45">
      <c r="C287" s="66"/>
      <c r="D287" s="66"/>
    </row>
    <row r="288" spans="3:4" ht="18.75" customHeight="1" x14ac:dyDescent="0.45">
      <c r="C288" s="66"/>
      <c r="D288" s="66"/>
    </row>
    <row r="289" spans="3:4" ht="18.75" customHeight="1" x14ac:dyDescent="0.45">
      <c r="C289" s="66"/>
      <c r="D289" s="66"/>
    </row>
    <row r="290" spans="3:4" ht="18.75" customHeight="1" x14ac:dyDescent="0.45">
      <c r="C290" s="66"/>
      <c r="D290" s="66"/>
    </row>
    <row r="291" spans="3:4" ht="18.75" customHeight="1" x14ac:dyDescent="0.45">
      <c r="C291" s="66"/>
      <c r="D291" s="66"/>
    </row>
    <row r="292" spans="3:4" ht="18.75" customHeight="1" x14ac:dyDescent="0.45">
      <c r="C292" s="66"/>
      <c r="D292" s="66"/>
    </row>
    <row r="293" spans="3:4" ht="18.75" customHeight="1" x14ac:dyDescent="0.45">
      <c r="C293" s="66"/>
      <c r="D293" s="66"/>
    </row>
    <row r="294" spans="3:4" ht="18.75" customHeight="1" x14ac:dyDescent="0.45">
      <c r="C294" s="66"/>
      <c r="D294" s="66"/>
    </row>
    <row r="295" spans="3:4" ht="18.75" customHeight="1" x14ac:dyDescent="0.45">
      <c r="C295" s="66"/>
      <c r="D295" s="66"/>
    </row>
    <row r="296" spans="3:4" ht="18.75" customHeight="1" x14ac:dyDescent="0.45">
      <c r="C296" s="66"/>
      <c r="D296" s="66"/>
    </row>
    <row r="297" spans="3:4" ht="18.75" customHeight="1" x14ac:dyDescent="0.45">
      <c r="C297" s="66"/>
      <c r="D297" s="66"/>
    </row>
    <row r="298" spans="3:4" ht="18.75" customHeight="1" x14ac:dyDescent="0.45">
      <c r="C298" s="66"/>
      <c r="D298" s="66"/>
    </row>
    <row r="299" spans="3:4" ht="18.75" customHeight="1" x14ac:dyDescent="0.45">
      <c r="C299" s="66"/>
      <c r="D299" s="66"/>
    </row>
    <row r="300" spans="3:4" ht="18.75" customHeight="1" x14ac:dyDescent="0.45">
      <c r="C300" s="66"/>
      <c r="D300" s="66"/>
    </row>
    <row r="301" spans="3:4" ht="18.75" customHeight="1" x14ac:dyDescent="0.45">
      <c r="C301" s="66"/>
      <c r="D301" s="66"/>
    </row>
    <row r="302" spans="3:4" ht="18.75" customHeight="1" x14ac:dyDescent="0.45">
      <c r="C302" s="66"/>
      <c r="D302" s="66"/>
    </row>
    <row r="303" spans="3:4" ht="18.75" customHeight="1" x14ac:dyDescent="0.45">
      <c r="C303" s="66"/>
      <c r="D303" s="66"/>
    </row>
    <row r="304" spans="3:4" ht="18.75" customHeight="1" x14ac:dyDescent="0.45">
      <c r="C304" s="66"/>
      <c r="D304" s="66"/>
    </row>
    <row r="305" spans="3:4" ht="18.75" customHeight="1" x14ac:dyDescent="0.45">
      <c r="C305" s="66"/>
      <c r="D305" s="66"/>
    </row>
    <row r="306" spans="3:4" ht="18.75" customHeight="1" x14ac:dyDescent="0.45">
      <c r="C306" s="66"/>
      <c r="D306" s="66"/>
    </row>
    <row r="307" spans="3:4" ht="18.75" customHeight="1" x14ac:dyDescent="0.45">
      <c r="C307" s="66"/>
      <c r="D307" s="66"/>
    </row>
    <row r="308" spans="3:4" ht="18.75" customHeight="1" x14ac:dyDescent="0.45">
      <c r="C308" s="66"/>
      <c r="D308" s="66"/>
    </row>
    <row r="309" spans="3:4" ht="18.75" customHeight="1" x14ac:dyDescent="0.45">
      <c r="C309" s="66"/>
      <c r="D309" s="66"/>
    </row>
    <row r="310" spans="3:4" ht="18.75" customHeight="1" x14ac:dyDescent="0.45">
      <c r="C310" s="66"/>
      <c r="D310" s="66"/>
    </row>
    <row r="311" spans="3:4" ht="18.75" customHeight="1" x14ac:dyDescent="0.45">
      <c r="C311" s="66"/>
      <c r="D311" s="66"/>
    </row>
    <row r="312" spans="3:4" ht="18.75" customHeight="1" x14ac:dyDescent="0.45">
      <c r="C312" s="66"/>
      <c r="D312" s="66"/>
    </row>
    <row r="313" spans="3:4" ht="18.75" customHeight="1" x14ac:dyDescent="0.45">
      <c r="C313" s="66"/>
      <c r="D313" s="66"/>
    </row>
    <row r="314" spans="3:4" ht="18.75" customHeight="1" x14ac:dyDescent="0.45">
      <c r="C314" s="66"/>
      <c r="D314" s="66"/>
    </row>
    <row r="315" spans="3:4" ht="18.75" customHeight="1" x14ac:dyDescent="0.45">
      <c r="C315" s="66"/>
      <c r="D315" s="66"/>
    </row>
    <row r="316" spans="3:4" ht="18.75" customHeight="1" x14ac:dyDescent="0.45">
      <c r="C316" s="66"/>
      <c r="D316" s="66"/>
    </row>
    <row r="317" spans="3:4" ht="18.75" customHeight="1" x14ac:dyDescent="0.45">
      <c r="C317" s="66"/>
      <c r="D317" s="66"/>
    </row>
    <row r="318" spans="3:4" ht="18.75" customHeight="1" x14ac:dyDescent="0.45">
      <c r="C318" s="66"/>
      <c r="D318" s="66"/>
    </row>
    <row r="319" spans="3:4" ht="18.75" customHeight="1" x14ac:dyDescent="0.45">
      <c r="C319" s="66"/>
      <c r="D319" s="66"/>
    </row>
    <row r="320" spans="3:4" ht="18.75" customHeight="1" x14ac:dyDescent="0.45">
      <c r="C320" s="66"/>
      <c r="D320" s="66"/>
    </row>
    <row r="321" spans="3:4" ht="18.75" customHeight="1" x14ac:dyDescent="0.45">
      <c r="C321" s="66"/>
      <c r="D321" s="66"/>
    </row>
    <row r="322" spans="3:4" ht="18.75" customHeight="1" x14ac:dyDescent="0.45">
      <c r="C322" s="66"/>
      <c r="D322" s="66"/>
    </row>
    <row r="323" spans="3:4" ht="18.75" customHeight="1" x14ac:dyDescent="0.45">
      <c r="C323" s="66"/>
      <c r="D323" s="66"/>
    </row>
    <row r="324" spans="3:4" ht="18.75" customHeight="1" x14ac:dyDescent="0.45">
      <c r="C324" s="66"/>
      <c r="D324" s="66"/>
    </row>
    <row r="325" spans="3:4" ht="18.75" customHeight="1" x14ac:dyDescent="0.45">
      <c r="C325" s="66"/>
      <c r="D325" s="66"/>
    </row>
    <row r="326" spans="3:4" ht="18.75" customHeight="1" x14ac:dyDescent="0.45">
      <c r="C326" s="66"/>
      <c r="D326" s="66"/>
    </row>
    <row r="327" spans="3:4" ht="18.75" customHeight="1" x14ac:dyDescent="0.45">
      <c r="C327" s="66"/>
      <c r="D327" s="66"/>
    </row>
    <row r="328" spans="3:4" ht="18.75" customHeight="1" x14ac:dyDescent="0.45">
      <c r="C328" s="66"/>
      <c r="D328" s="66"/>
    </row>
    <row r="329" spans="3:4" ht="18.75" customHeight="1" x14ac:dyDescent="0.45">
      <c r="C329" s="66"/>
      <c r="D329" s="66"/>
    </row>
    <row r="330" spans="3:4" ht="18.75" customHeight="1" x14ac:dyDescent="0.45">
      <c r="C330" s="66"/>
      <c r="D330" s="66"/>
    </row>
    <row r="331" spans="3:4" ht="18.75" customHeight="1" x14ac:dyDescent="0.45">
      <c r="C331" s="66"/>
      <c r="D331" s="66"/>
    </row>
    <row r="332" spans="3:4" ht="18.75" customHeight="1" x14ac:dyDescent="0.45">
      <c r="C332" s="66"/>
      <c r="D332" s="66"/>
    </row>
    <row r="333" spans="3:4" ht="18.75" customHeight="1" x14ac:dyDescent="0.45">
      <c r="C333" s="66"/>
      <c r="D333" s="66"/>
    </row>
    <row r="334" spans="3:4" ht="18.75" customHeight="1" x14ac:dyDescent="0.45">
      <c r="C334" s="66"/>
      <c r="D334" s="66"/>
    </row>
    <row r="335" spans="3:4" ht="18.75" customHeight="1" x14ac:dyDescent="0.45">
      <c r="C335" s="66"/>
      <c r="D335" s="66"/>
    </row>
    <row r="336" spans="3:4" ht="18.75" customHeight="1" x14ac:dyDescent="0.45">
      <c r="C336" s="66"/>
      <c r="D336" s="66"/>
    </row>
    <row r="337" spans="3:4" ht="18.75" customHeight="1" x14ac:dyDescent="0.45">
      <c r="C337" s="66"/>
      <c r="D337" s="66"/>
    </row>
    <row r="338" spans="3:4" ht="18.75" customHeight="1" x14ac:dyDescent="0.45">
      <c r="C338" s="66"/>
      <c r="D338" s="66"/>
    </row>
    <row r="339" spans="3:4" ht="18.75" customHeight="1" x14ac:dyDescent="0.45">
      <c r="C339" s="66"/>
      <c r="D339" s="66"/>
    </row>
    <row r="340" spans="3:4" ht="18.75" customHeight="1" x14ac:dyDescent="0.45">
      <c r="C340" s="66"/>
      <c r="D340" s="66"/>
    </row>
    <row r="341" spans="3:4" ht="18.75" customHeight="1" x14ac:dyDescent="0.45">
      <c r="C341" s="66"/>
      <c r="D341" s="66"/>
    </row>
    <row r="342" spans="3:4" ht="18.75" customHeight="1" x14ac:dyDescent="0.45">
      <c r="C342" s="66"/>
      <c r="D342" s="66"/>
    </row>
    <row r="343" spans="3:4" ht="18.75" customHeight="1" x14ac:dyDescent="0.45">
      <c r="C343" s="66"/>
      <c r="D343" s="66"/>
    </row>
    <row r="344" spans="3:4" ht="18.75" customHeight="1" x14ac:dyDescent="0.45">
      <c r="C344" s="66"/>
      <c r="D344" s="66"/>
    </row>
    <row r="345" spans="3:4" ht="18.75" customHeight="1" x14ac:dyDescent="0.45">
      <c r="C345" s="66"/>
      <c r="D345" s="66"/>
    </row>
    <row r="346" spans="3:4" ht="18.75" customHeight="1" x14ac:dyDescent="0.45">
      <c r="C346" s="66"/>
      <c r="D346" s="66"/>
    </row>
    <row r="347" spans="3:4" ht="18.75" customHeight="1" x14ac:dyDescent="0.45">
      <c r="C347" s="66"/>
      <c r="D347" s="66"/>
    </row>
    <row r="348" spans="3:4" ht="18.75" customHeight="1" x14ac:dyDescent="0.45">
      <c r="C348" s="66"/>
      <c r="D348" s="66"/>
    </row>
    <row r="349" spans="3:4" ht="18.75" customHeight="1" x14ac:dyDescent="0.45">
      <c r="C349" s="66"/>
      <c r="D349" s="66"/>
    </row>
    <row r="350" spans="3:4" ht="18.75" customHeight="1" x14ac:dyDescent="0.45">
      <c r="C350" s="66"/>
      <c r="D350" s="66"/>
    </row>
    <row r="351" spans="3:4" ht="18.75" customHeight="1" x14ac:dyDescent="0.45">
      <c r="C351" s="66"/>
      <c r="D351" s="66"/>
    </row>
    <row r="352" spans="3:4" ht="18.75" customHeight="1" x14ac:dyDescent="0.45">
      <c r="C352" s="66"/>
      <c r="D352" s="66"/>
    </row>
    <row r="353" spans="3:4" ht="18.75" customHeight="1" x14ac:dyDescent="0.45">
      <c r="C353" s="66"/>
      <c r="D353" s="66"/>
    </row>
    <row r="354" spans="3:4" ht="18.75" customHeight="1" x14ac:dyDescent="0.45">
      <c r="C354" s="66"/>
      <c r="D354" s="66"/>
    </row>
    <row r="355" spans="3:4" ht="18.75" customHeight="1" x14ac:dyDescent="0.45">
      <c r="C355" s="66"/>
      <c r="D355" s="66"/>
    </row>
    <row r="356" spans="3:4" ht="18.75" customHeight="1" x14ac:dyDescent="0.45">
      <c r="C356" s="66"/>
      <c r="D356" s="66"/>
    </row>
    <row r="357" spans="3:4" ht="18.75" customHeight="1" x14ac:dyDescent="0.45">
      <c r="C357" s="66"/>
      <c r="D357" s="66"/>
    </row>
    <row r="358" spans="3:4" ht="18.75" customHeight="1" x14ac:dyDescent="0.45">
      <c r="C358" s="66"/>
      <c r="D358" s="66"/>
    </row>
    <row r="359" spans="3:4" ht="18.75" customHeight="1" x14ac:dyDescent="0.45">
      <c r="C359" s="66"/>
      <c r="D359" s="66"/>
    </row>
    <row r="360" spans="3:4" ht="18.75" customHeight="1" x14ac:dyDescent="0.45">
      <c r="C360" s="66"/>
      <c r="D360" s="66"/>
    </row>
    <row r="361" spans="3:4" ht="18.75" customHeight="1" x14ac:dyDescent="0.45">
      <c r="C361" s="66"/>
      <c r="D361" s="66"/>
    </row>
    <row r="362" spans="3:4" ht="18.75" customHeight="1" x14ac:dyDescent="0.45">
      <c r="C362" s="66"/>
      <c r="D362" s="66"/>
    </row>
    <row r="363" spans="3:4" ht="18.75" customHeight="1" x14ac:dyDescent="0.45">
      <c r="C363" s="66"/>
      <c r="D363" s="66"/>
    </row>
    <row r="364" spans="3:4" ht="18.75" customHeight="1" x14ac:dyDescent="0.45">
      <c r="C364" s="66"/>
      <c r="D364" s="66"/>
    </row>
    <row r="365" spans="3:4" ht="18.75" customHeight="1" x14ac:dyDescent="0.45">
      <c r="C365" s="66"/>
      <c r="D365" s="66"/>
    </row>
    <row r="366" spans="3:4" ht="18.75" customHeight="1" x14ac:dyDescent="0.45">
      <c r="C366" s="66"/>
      <c r="D366" s="66"/>
    </row>
    <row r="367" spans="3:4" ht="18.75" customHeight="1" x14ac:dyDescent="0.45">
      <c r="C367" s="66"/>
      <c r="D367" s="66"/>
    </row>
    <row r="368" spans="3:4" ht="18.75" customHeight="1" x14ac:dyDescent="0.45">
      <c r="C368" s="66"/>
      <c r="D368" s="66"/>
    </row>
    <row r="369" spans="3:4" ht="18.75" customHeight="1" x14ac:dyDescent="0.45">
      <c r="C369" s="66"/>
      <c r="D369" s="66"/>
    </row>
    <row r="370" spans="3:4" ht="18.75" customHeight="1" x14ac:dyDescent="0.45">
      <c r="C370" s="66"/>
      <c r="D370" s="66"/>
    </row>
    <row r="371" spans="3:4" ht="18.75" customHeight="1" x14ac:dyDescent="0.45">
      <c r="C371" s="66"/>
      <c r="D371" s="66"/>
    </row>
    <row r="372" spans="3:4" ht="18.75" customHeight="1" x14ac:dyDescent="0.45">
      <c r="C372" s="66"/>
      <c r="D372" s="66"/>
    </row>
    <row r="373" spans="3:4" ht="18.75" customHeight="1" x14ac:dyDescent="0.45">
      <c r="C373" s="66"/>
      <c r="D373" s="66"/>
    </row>
    <row r="374" spans="3:4" ht="18.75" customHeight="1" x14ac:dyDescent="0.45">
      <c r="C374" s="66"/>
      <c r="D374" s="66"/>
    </row>
    <row r="375" spans="3:4" ht="18.75" customHeight="1" x14ac:dyDescent="0.45">
      <c r="C375" s="66"/>
      <c r="D375" s="66"/>
    </row>
    <row r="376" spans="3:4" ht="18.75" customHeight="1" x14ac:dyDescent="0.45">
      <c r="C376" s="66"/>
      <c r="D376" s="66"/>
    </row>
    <row r="377" spans="3:4" ht="18.75" customHeight="1" x14ac:dyDescent="0.45">
      <c r="C377" s="66"/>
      <c r="D377" s="66"/>
    </row>
    <row r="378" spans="3:4" ht="18.75" customHeight="1" x14ac:dyDescent="0.45">
      <c r="C378" s="66"/>
      <c r="D378" s="66"/>
    </row>
    <row r="379" spans="3:4" ht="18.75" customHeight="1" x14ac:dyDescent="0.45">
      <c r="C379" s="66"/>
      <c r="D379" s="66"/>
    </row>
    <row r="380" spans="3:4" ht="18.75" customHeight="1" x14ac:dyDescent="0.45">
      <c r="C380" s="66"/>
      <c r="D380" s="66"/>
    </row>
    <row r="381" spans="3:4" ht="18.75" customHeight="1" x14ac:dyDescent="0.45">
      <c r="C381" s="66"/>
      <c r="D381" s="66"/>
    </row>
    <row r="382" spans="3:4" ht="18.75" customHeight="1" x14ac:dyDescent="0.45">
      <c r="C382" s="66"/>
      <c r="D382" s="66"/>
    </row>
    <row r="383" spans="3:4" ht="18.75" customHeight="1" x14ac:dyDescent="0.45">
      <c r="C383" s="66"/>
      <c r="D383" s="66"/>
    </row>
    <row r="384" spans="3:4" ht="18.75" customHeight="1" x14ac:dyDescent="0.45">
      <c r="C384" s="66"/>
      <c r="D384" s="66"/>
    </row>
    <row r="385" spans="3:4" ht="18.75" customHeight="1" x14ac:dyDescent="0.45">
      <c r="C385" s="66"/>
      <c r="D385" s="66"/>
    </row>
    <row r="386" spans="3:4" ht="18.75" customHeight="1" x14ac:dyDescent="0.45">
      <c r="C386" s="66"/>
      <c r="D386" s="66"/>
    </row>
    <row r="387" spans="3:4" ht="18.75" customHeight="1" x14ac:dyDescent="0.45">
      <c r="C387" s="66"/>
      <c r="D387" s="66"/>
    </row>
    <row r="388" spans="3:4" ht="18.75" customHeight="1" x14ac:dyDescent="0.45">
      <c r="C388" s="66"/>
      <c r="D388" s="66"/>
    </row>
    <row r="389" spans="3:4" ht="18.75" customHeight="1" x14ac:dyDescent="0.45">
      <c r="C389" s="66"/>
      <c r="D389" s="66"/>
    </row>
    <row r="390" spans="3:4" ht="18.75" customHeight="1" x14ac:dyDescent="0.45">
      <c r="C390" s="66"/>
      <c r="D390" s="66"/>
    </row>
    <row r="391" spans="3:4" ht="18.75" customHeight="1" x14ac:dyDescent="0.45">
      <c r="C391" s="66"/>
      <c r="D391" s="66"/>
    </row>
    <row r="392" spans="3:4" ht="18.75" customHeight="1" x14ac:dyDescent="0.45">
      <c r="C392" s="66"/>
      <c r="D392" s="66"/>
    </row>
    <row r="393" spans="3:4" ht="18.75" customHeight="1" x14ac:dyDescent="0.45">
      <c r="C393" s="66"/>
      <c r="D393" s="66"/>
    </row>
    <row r="394" spans="3:4" ht="18.75" customHeight="1" x14ac:dyDescent="0.45">
      <c r="C394" s="66"/>
      <c r="D394" s="66"/>
    </row>
    <row r="395" spans="3:4" ht="18.75" customHeight="1" x14ac:dyDescent="0.45">
      <c r="C395" s="66"/>
      <c r="D395" s="66"/>
    </row>
    <row r="396" spans="3:4" ht="18.75" customHeight="1" x14ac:dyDescent="0.45">
      <c r="C396" s="66"/>
      <c r="D396" s="66"/>
    </row>
    <row r="397" spans="3:4" ht="18.75" customHeight="1" x14ac:dyDescent="0.45">
      <c r="C397" s="66"/>
      <c r="D397" s="66"/>
    </row>
    <row r="398" spans="3:4" ht="18.75" customHeight="1" x14ac:dyDescent="0.45">
      <c r="C398" s="66"/>
      <c r="D398" s="66"/>
    </row>
    <row r="399" spans="3:4" ht="18.75" customHeight="1" x14ac:dyDescent="0.45">
      <c r="C399" s="66"/>
      <c r="D399" s="66"/>
    </row>
    <row r="400" spans="3:4" ht="18.75" customHeight="1" x14ac:dyDescent="0.45">
      <c r="C400" s="66"/>
      <c r="D400" s="66"/>
    </row>
    <row r="401" spans="3:4" ht="18.75" customHeight="1" x14ac:dyDescent="0.45">
      <c r="C401" s="66"/>
      <c r="D401" s="66"/>
    </row>
    <row r="402" spans="3:4" ht="18.75" customHeight="1" x14ac:dyDescent="0.45">
      <c r="C402" s="66"/>
      <c r="D402" s="66"/>
    </row>
    <row r="403" spans="3:4" ht="18.75" customHeight="1" x14ac:dyDescent="0.45">
      <c r="C403" s="66"/>
      <c r="D403" s="66"/>
    </row>
    <row r="404" spans="3:4" ht="18.75" customHeight="1" x14ac:dyDescent="0.45">
      <c r="C404" s="66"/>
      <c r="D404" s="66"/>
    </row>
    <row r="405" spans="3:4" ht="18.75" customHeight="1" x14ac:dyDescent="0.45">
      <c r="C405" s="66"/>
      <c r="D405" s="66"/>
    </row>
    <row r="406" spans="3:4" ht="18.75" customHeight="1" x14ac:dyDescent="0.45">
      <c r="C406" s="66"/>
      <c r="D406" s="66"/>
    </row>
    <row r="407" spans="3:4" ht="18.75" customHeight="1" x14ac:dyDescent="0.45">
      <c r="C407" s="66"/>
      <c r="D407" s="66"/>
    </row>
    <row r="408" spans="3:4" ht="18.75" customHeight="1" x14ac:dyDescent="0.45">
      <c r="C408" s="66"/>
      <c r="D408" s="66"/>
    </row>
    <row r="409" spans="3:4" ht="18.75" customHeight="1" x14ac:dyDescent="0.45">
      <c r="C409" s="66"/>
      <c r="D409" s="66"/>
    </row>
    <row r="410" spans="3:4" ht="18.75" customHeight="1" x14ac:dyDescent="0.45">
      <c r="C410" s="66"/>
      <c r="D410" s="66"/>
    </row>
    <row r="411" spans="3:4" ht="18.75" customHeight="1" x14ac:dyDescent="0.45">
      <c r="C411" s="66"/>
      <c r="D411" s="66"/>
    </row>
    <row r="412" spans="3:4" ht="18.75" customHeight="1" x14ac:dyDescent="0.45">
      <c r="C412" s="66"/>
      <c r="D412" s="66"/>
    </row>
    <row r="413" spans="3:4" ht="18.75" customHeight="1" x14ac:dyDescent="0.45">
      <c r="C413" s="66"/>
      <c r="D413" s="66"/>
    </row>
    <row r="414" spans="3:4" ht="18.75" customHeight="1" x14ac:dyDescent="0.45">
      <c r="C414" s="66"/>
      <c r="D414" s="66"/>
    </row>
    <row r="415" spans="3:4" ht="18.75" customHeight="1" x14ac:dyDescent="0.45">
      <c r="C415" s="66"/>
      <c r="D415" s="66"/>
    </row>
    <row r="416" spans="3:4" ht="18.75" customHeight="1" x14ac:dyDescent="0.45">
      <c r="C416" s="66"/>
      <c r="D416" s="66"/>
    </row>
    <row r="417" spans="3:4" ht="18.75" customHeight="1" x14ac:dyDescent="0.45">
      <c r="C417" s="66"/>
      <c r="D417" s="66"/>
    </row>
    <row r="418" spans="3:4" ht="18.75" customHeight="1" x14ac:dyDescent="0.45">
      <c r="C418" s="66"/>
      <c r="D418" s="66"/>
    </row>
    <row r="419" spans="3:4" ht="18.75" customHeight="1" x14ac:dyDescent="0.45">
      <c r="C419" s="66"/>
      <c r="D419" s="66"/>
    </row>
    <row r="420" spans="3:4" ht="18.75" customHeight="1" x14ac:dyDescent="0.45">
      <c r="C420" s="66"/>
      <c r="D420" s="66"/>
    </row>
    <row r="421" spans="3:4" ht="18.75" customHeight="1" x14ac:dyDescent="0.45">
      <c r="C421" s="66"/>
      <c r="D421" s="66"/>
    </row>
    <row r="422" spans="3:4" ht="18.75" customHeight="1" x14ac:dyDescent="0.45">
      <c r="C422" s="66"/>
      <c r="D422" s="66"/>
    </row>
    <row r="423" spans="3:4" ht="18.75" customHeight="1" x14ac:dyDescent="0.45">
      <c r="C423" s="66"/>
      <c r="D423" s="66"/>
    </row>
    <row r="424" spans="3:4" ht="18.75" customHeight="1" x14ac:dyDescent="0.45">
      <c r="C424" s="66"/>
      <c r="D424" s="66"/>
    </row>
    <row r="425" spans="3:4" ht="18.75" customHeight="1" x14ac:dyDescent="0.45">
      <c r="C425" s="66"/>
      <c r="D425" s="66"/>
    </row>
    <row r="426" spans="3:4" ht="18.75" customHeight="1" x14ac:dyDescent="0.45">
      <c r="C426" s="66"/>
      <c r="D426" s="66"/>
    </row>
    <row r="427" spans="3:4" ht="18.75" customHeight="1" x14ac:dyDescent="0.45">
      <c r="C427" s="66"/>
      <c r="D427" s="66"/>
    </row>
    <row r="428" spans="3:4" ht="18.75" customHeight="1" x14ac:dyDescent="0.45">
      <c r="C428" s="66"/>
      <c r="D428" s="66"/>
    </row>
    <row r="429" spans="3:4" ht="18.75" customHeight="1" x14ac:dyDescent="0.45">
      <c r="C429" s="66"/>
      <c r="D429" s="66"/>
    </row>
    <row r="430" spans="3:4" ht="18.75" customHeight="1" x14ac:dyDescent="0.45">
      <c r="C430" s="66"/>
      <c r="D430" s="66"/>
    </row>
    <row r="431" spans="3:4" ht="18.75" customHeight="1" x14ac:dyDescent="0.45">
      <c r="C431" s="66"/>
      <c r="D431" s="66"/>
    </row>
    <row r="432" spans="3:4" ht="18.75" customHeight="1" x14ac:dyDescent="0.45">
      <c r="C432" s="66"/>
      <c r="D432" s="66"/>
    </row>
    <row r="433" spans="3:4" ht="18.75" customHeight="1" x14ac:dyDescent="0.45">
      <c r="C433" s="66"/>
      <c r="D433" s="66"/>
    </row>
    <row r="434" spans="3:4" ht="18.75" customHeight="1" x14ac:dyDescent="0.45">
      <c r="C434" s="66"/>
      <c r="D434" s="66"/>
    </row>
    <row r="435" spans="3:4" ht="18.75" customHeight="1" x14ac:dyDescent="0.45">
      <c r="C435" s="66"/>
      <c r="D435" s="66"/>
    </row>
    <row r="436" spans="3:4" ht="18.75" customHeight="1" x14ac:dyDescent="0.45">
      <c r="C436" s="66"/>
      <c r="D436" s="66"/>
    </row>
    <row r="437" spans="3:4" ht="18.75" customHeight="1" x14ac:dyDescent="0.45">
      <c r="C437" s="66"/>
      <c r="D437" s="66"/>
    </row>
    <row r="438" spans="3:4" ht="18.75" customHeight="1" x14ac:dyDescent="0.45">
      <c r="C438" s="66"/>
      <c r="D438" s="66"/>
    </row>
    <row r="439" spans="3:4" ht="18.75" customHeight="1" x14ac:dyDescent="0.45">
      <c r="C439" s="66"/>
      <c r="D439" s="66"/>
    </row>
    <row r="440" spans="3:4" ht="18.75" customHeight="1" x14ac:dyDescent="0.45">
      <c r="C440" s="66"/>
      <c r="D440" s="66"/>
    </row>
    <row r="441" spans="3:4" ht="18.75" customHeight="1" x14ac:dyDescent="0.45">
      <c r="C441" s="66"/>
      <c r="D441" s="66"/>
    </row>
    <row r="442" spans="3:4" ht="18.75" customHeight="1" x14ac:dyDescent="0.45">
      <c r="C442" s="66"/>
      <c r="D442" s="66"/>
    </row>
    <row r="443" spans="3:4" ht="18.75" customHeight="1" x14ac:dyDescent="0.45">
      <c r="C443" s="66"/>
      <c r="D443" s="66"/>
    </row>
    <row r="444" spans="3:4" ht="18.75" customHeight="1" x14ac:dyDescent="0.45">
      <c r="C444" s="66"/>
      <c r="D444" s="66"/>
    </row>
    <row r="445" spans="3:4" ht="18.75" customHeight="1" x14ac:dyDescent="0.45">
      <c r="C445" s="66"/>
      <c r="D445" s="66"/>
    </row>
    <row r="446" spans="3:4" ht="18.75" customHeight="1" x14ac:dyDescent="0.45">
      <c r="C446" s="66"/>
      <c r="D446" s="66"/>
    </row>
    <row r="447" spans="3:4" ht="18.75" customHeight="1" x14ac:dyDescent="0.45">
      <c r="C447" s="66"/>
      <c r="D447" s="66"/>
    </row>
    <row r="448" spans="3:4" ht="18.75" customHeight="1" x14ac:dyDescent="0.45">
      <c r="C448" s="66"/>
      <c r="D448" s="66"/>
    </row>
    <row r="449" spans="3:4" ht="18.75" customHeight="1" x14ac:dyDescent="0.45">
      <c r="C449" s="66"/>
      <c r="D449" s="66"/>
    </row>
    <row r="450" spans="3:4" ht="18.75" customHeight="1" x14ac:dyDescent="0.45">
      <c r="C450" s="66"/>
      <c r="D450" s="66"/>
    </row>
    <row r="451" spans="3:4" ht="18.75" customHeight="1" x14ac:dyDescent="0.45">
      <c r="C451" s="66"/>
      <c r="D451" s="66"/>
    </row>
    <row r="452" spans="3:4" ht="18.75" customHeight="1" x14ac:dyDescent="0.45">
      <c r="C452" s="66"/>
      <c r="D452" s="66"/>
    </row>
    <row r="453" spans="3:4" ht="18.75" customHeight="1" x14ac:dyDescent="0.45">
      <c r="C453" s="66"/>
      <c r="D453" s="66"/>
    </row>
    <row r="454" spans="3:4" ht="18.75" customHeight="1" x14ac:dyDescent="0.45">
      <c r="C454" s="66"/>
      <c r="D454" s="66"/>
    </row>
    <row r="455" spans="3:4" ht="18.75" customHeight="1" x14ac:dyDescent="0.45">
      <c r="C455" s="66"/>
      <c r="D455" s="66"/>
    </row>
    <row r="456" spans="3:4" ht="18.75" customHeight="1" x14ac:dyDescent="0.45">
      <c r="C456" s="66"/>
      <c r="D456" s="66"/>
    </row>
    <row r="457" spans="3:4" ht="18.75" customHeight="1" x14ac:dyDescent="0.45">
      <c r="C457" s="66"/>
      <c r="D457" s="66"/>
    </row>
    <row r="458" spans="3:4" ht="18.75" customHeight="1" x14ac:dyDescent="0.45">
      <c r="C458" s="66"/>
      <c r="D458" s="66"/>
    </row>
    <row r="459" spans="3:4" ht="18.75" customHeight="1" x14ac:dyDescent="0.45">
      <c r="C459" s="66"/>
      <c r="D459" s="66"/>
    </row>
    <row r="460" spans="3:4" ht="18.75" customHeight="1" x14ac:dyDescent="0.45">
      <c r="C460" s="66"/>
      <c r="D460" s="66"/>
    </row>
    <row r="461" spans="3:4" ht="18.75" customHeight="1" x14ac:dyDescent="0.45">
      <c r="C461" s="66"/>
      <c r="D461" s="66"/>
    </row>
    <row r="462" spans="3:4" ht="18.75" customHeight="1" x14ac:dyDescent="0.45">
      <c r="C462" s="66"/>
      <c r="D462" s="66"/>
    </row>
    <row r="463" spans="3:4" ht="18.75" customHeight="1" x14ac:dyDescent="0.45">
      <c r="C463" s="66"/>
      <c r="D463" s="66"/>
    </row>
    <row r="464" spans="3:4" ht="18.75" customHeight="1" x14ac:dyDescent="0.45">
      <c r="C464" s="66"/>
      <c r="D464" s="66"/>
    </row>
    <row r="465" spans="3:4" ht="18.75" customHeight="1" x14ac:dyDescent="0.45">
      <c r="C465" s="66"/>
      <c r="D465" s="66"/>
    </row>
    <row r="466" spans="3:4" ht="18.75" customHeight="1" x14ac:dyDescent="0.45">
      <c r="C466" s="66"/>
      <c r="D466" s="66"/>
    </row>
    <row r="467" spans="3:4" ht="18.75" customHeight="1" x14ac:dyDescent="0.45">
      <c r="C467" s="66"/>
      <c r="D467" s="66"/>
    </row>
    <row r="468" spans="3:4" ht="18.75" customHeight="1" x14ac:dyDescent="0.45">
      <c r="C468" s="66"/>
      <c r="D468" s="66"/>
    </row>
    <row r="469" spans="3:4" ht="18.75" customHeight="1" x14ac:dyDescent="0.45">
      <c r="C469" s="66"/>
      <c r="D469" s="66"/>
    </row>
    <row r="470" spans="3:4" ht="18.75" customHeight="1" x14ac:dyDescent="0.45">
      <c r="C470" s="66"/>
      <c r="D470" s="66"/>
    </row>
    <row r="471" spans="3:4" ht="18.75" customHeight="1" x14ac:dyDescent="0.45">
      <c r="C471" s="66"/>
      <c r="D471" s="66"/>
    </row>
    <row r="472" spans="3:4" ht="18.75" customHeight="1" x14ac:dyDescent="0.45">
      <c r="C472" s="66"/>
      <c r="D472" s="66"/>
    </row>
    <row r="473" spans="3:4" ht="18.75" customHeight="1" x14ac:dyDescent="0.45">
      <c r="C473" s="66"/>
      <c r="D473" s="66"/>
    </row>
    <row r="474" spans="3:4" ht="18.75" customHeight="1" x14ac:dyDescent="0.45">
      <c r="C474" s="66"/>
      <c r="D474" s="66"/>
    </row>
    <row r="475" spans="3:4" ht="18.75" customHeight="1" x14ac:dyDescent="0.45">
      <c r="C475" s="66"/>
      <c r="D475" s="66"/>
    </row>
    <row r="476" spans="3:4" ht="18.75" customHeight="1" x14ac:dyDescent="0.45">
      <c r="C476" s="66"/>
      <c r="D476" s="66"/>
    </row>
    <row r="477" spans="3:4" ht="18.75" customHeight="1" x14ac:dyDescent="0.45">
      <c r="C477" s="66"/>
      <c r="D477" s="66"/>
    </row>
    <row r="478" spans="3:4" ht="18.75" customHeight="1" x14ac:dyDescent="0.45">
      <c r="C478" s="66"/>
      <c r="D478" s="66"/>
    </row>
    <row r="479" spans="3:4" ht="18.75" customHeight="1" x14ac:dyDescent="0.45">
      <c r="C479" s="66"/>
      <c r="D479" s="66"/>
    </row>
    <row r="480" spans="3:4" ht="18.75" customHeight="1" x14ac:dyDescent="0.45">
      <c r="C480" s="66"/>
      <c r="D480" s="66"/>
    </row>
    <row r="481" spans="3:4" ht="18.75" customHeight="1" x14ac:dyDescent="0.45">
      <c r="C481" s="66"/>
      <c r="D481" s="66"/>
    </row>
    <row r="482" spans="3:4" ht="18.75" customHeight="1" x14ac:dyDescent="0.45">
      <c r="C482" s="66"/>
      <c r="D482" s="66"/>
    </row>
    <row r="483" spans="3:4" ht="18.75" customHeight="1" x14ac:dyDescent="0.45">
      <c r="C483" s="66"/>
      <c r="D483" s="66"/>
    </row>
    <row r="484" spans="3:4" ht="18.75" customHeight="1" x14ac:dyDescent="0.45">
      <c r="C484" s="66"/>
      <c r="D484" s="66"/>
    </row>
    <row r="485" spans="3:4" ht="18.75" customHeight="1" x14ac:dyDescent="0.45">
      <c r="C485" s="66"/>
      <c r="D485" s="66"/>
    </row>
    <row r="486" spans="3:4" ht="18.75" customHeight="1" x14ac:dyDescent="0.45">
      <c r="C486" s="66"/>
      <c r="D486" s="66"/>
    </row>
    <row r="487" spans="3:4" ht="18.75" customHeight="1" x14ac:dyDescent="0.45">
      <c r="C487" s="66"/>
      <c r="D487" s="66"/>
    </row>
    <row r="488" spans="3:4" ht="18.75" customHeight="1" x14ac:dyDescent="0.45">
      <c r="C488" s="66"/>
      <c r="D488" s="66"/>
    </row>
    <row r="489" spans="3:4" ht="18.75" customHeight="1" x14ac:dyDescent="0.45">
      <c r="C489" s="66"/>
      <c r="D489" s="66"/>
    </row>
    <row r="490" spans="3:4" ht="18.75" customHeight="1" x14ac:dyDescent="0.45">
      <c r="C490" s="66"/>
      <c r="D490" s="66"/>
    </row>
    <row r="491" spans="3:4" ht="18.75" customHeight="1" x14ac:dyDescent="0.45">
      <c r="C491" s="66"/>
      <c r="D491" s="66"/>
    </row>
    <row r="492" spans="3:4" ht="18.75" customHeight="1" x14ac:dyDescent="0.45">
      <c r="C492" s="66"/>
      <c r="D492" s="66"/>
    </row>
    <row r="493" spans="3:4" ht="18.75" customHeight="1" x14ac:dyDescent="0.45">
      <c r="C493" s="66"/>
      <c r="D493" s="66"/>
    </row>
    <row r="494" spans="3:4" ht="18.75" customHeight="1" x14ac:dyDescent="0.45">
      <c r="C494" s="66"/>
      <c r="D494" s="66"/>
    </row>
    <row r="495" spans="3:4" ht="18.75" customHeight="1" x14ac:dyDescent="0.45">
      <c r="C495" s="66"/>
      <c r="D495" s="66"/>
    </row>
    <row r="496" spans="3:4" ht="18.75" customHeight="1" x14ac:dyDescent="0.45">
      <c r="C496" s="66"/>
      <c r="D496" s="66"/>
    </row>
    <row r="497" spans="3:4" ht="18.75" customHeight="1" x14ac:dyDescent="0.45">
      <c r="C497" s="66"/>
      <c r="D497" s="66"/>
    </row>
    <row r="498" spans="3:4" ht="18.75" customHeight="1" x14ac:dyDescent="0.45">
      <c r="C498" s="66"/>
      <c r="D498" s="66"/>
    </row>
    <row r="499" spans="3:4" ht="18.75" customHeight="1" x14ac:dyDescent="0.45">
      <c r="C499" s="66"/>
      <c r="D499" s="66"/>
    </row>
    <row r="500" spans="3:4" ht="18.75" customHeight="1" x14ac:dyDescent="0.45">
      <c r="C500" s="66"/>
      <c r="D500" s="66"/>
    </row>
    <row r="501" spans="3:4" ht="18.75" customHeight="1" x14ac:dyDescent="0.45">
      <c r="C501" s="66"/>
      <c r="D501" s="66"/>
    </row>
    <row r="502" spans="3:4" ht="18.75" customHeight="1" x14ac:dyDescent="0.45">
      <c r="C502" s="66"/>
      <c r="D502" s="66"/>
    </row>
    <row r="503" spans="3:4" ht="18.75" customHeight="1" x14ac:dyDescent="0.45">
      <c r="C503" s="66"/>
      <c r="D503" s="66"/>
    </row>
    <row r="504" spans="3:4" ht="18.75" customHeight="1" x14ac:dyDescent="0.45">
      <c r="C504" s="66"/>
      <c r="D504" s="66"/>
    </row>
    <row r="505" spans="3:4" ht="18.75" customHeight="1" x14ac:dyDescent="0.45">
      <c r="C505" s="66"/>
      <c r="D505" s="66"/>
    </row>
    <row r="506" spans="3:4" ht="18.75" customHeight="1" x14ac:dyDescent="0.45">
      <c r="C506" s="66"/>
      <c r="D506" s="66"/>
    </row>
    <row r="507" spans="3:4" ht="18.75" customHeight="1" x14ac:dyDescent="0.45">
      <c r="C507" s="66"/>
      <c r="D507" s="66"/>
    </row>
    <row r="508" spans="3:4" ht="18.75" customHeight="1" x14ac:dyDescent="0.45">
      <c r="C508" s="66"/>
      <c r="D508" s="66"/>
    </row>
    <row r="509" spans="3:4" ht="18.75" customHeight="1" x14ac:dyDescent="0.45">
      <c r="C509" s="66"/>
      <c r="D509" s="66"/>
    </row>
    <row r="510" spans="3:4" ht="18.75" customHeight="1" x14ac:dyDescent="0.45">
      <c r="C510" s="66"/>
      <c r="D510" s="66"/>
    </row>
    <row r="511" spans="3:4" ht="18.75" customHeight="1" x14ac:dyDescent="0.45">
      <c r="C511" s="66"/>
      <c r="D511" s="66"/>
    </row>
    <row r="512" spans="3:4" ht="18.75" customHeight="1" x14ac:dyDescent="0.45">
      <c r="C512" s="66"/>
      <c r="D512" s="66"/>
    </row>
    <row r="513" spans="3:4" ht="18.75" customHeight="1" x14ac:dyDescent="0.45">
      <c r="C513" s="66"/>
      <c r="D513" s="66"/>
    </row>
    <row r="514" spans="3:4" ht="18.75" customHeight="1" x14ac:dyDescent="0.45">
      <c r="C514" s="66"/>
      <c r="D514" s="66"/>
    </row>
    <row r="515" spans="3:4" ht="18.75" customHeight="1" x14ac:dyDescent="0.45">
      <c r="C515" s="66"/>
      <c r="D515" s="66"/>
    </row>
    <row r="516" spans="3:4" ht="18.75" customHeight="1" x14ac:dyDescent="0.45">
      <c r="C516" s="66"/>
      <c r="D516" s="66"/>
    </row>
    <row r="517" spans="3:4" ht="18.75" customHeight="1" x14ac:dyDescent="0.45">
      <c r="C517" s="66"/>
      <c r="D517" s="66"/>
    </row>
    <row r="518" spans="3:4" ht="18.75" customHeight="1" x14ac:dyDescent="0.45">
      <c r="C518" s="66"/>
      <c r="D518" s="66"/>
    </row>
    <row r="519" spans="3:4" ht="18.75" customHeight="1" x14ac:dyDescent="0.45">
      <c r="C519" s="66"/>
      <c r="D519" s="66"/>
    </row>
    <row r="520" spans="3:4" ht="18.75" customHeight="1" x14ac:dyDescent="0.45">
      <c r="C520" s="66"/>
      <c r="D520" s="66"/>
    </row>
    <row r="521" spans="3:4" ht="18.75" customHeight="1" x14ac:dyDescent="0.45">
      <c r="C521" s="66"/>
      <c r="D521" s="66"/>
    </row>
    <row r="522" spans="3:4" ht="18.75" customHeight="1" x14ac:dyDescent="0.45">
      <c r="C522" s="66"/>
      <c r="D522" s="66"/>
    </row>
    <row r="523" spans="3:4" ht="18.75" customHeight="1" x14ac:dyDescent="0.45">
      <c r="C523" s="66"/>
      <c r="D523" s="66"/>
    </row>
    <row r="524" spans="3:4" ht="18.75" customHeight="1" x14ac:dyDescent="0.45">
      <c r="C524" s="66"/>
      <c r="D524" s="66"/>
    </row>
    <row r="525" spans="3:4" ht="18.75" customHeight="1" x14ac:dyDescent="0.45">
      <c r="C525" s="66"/>
      <c r="D525" s="66"/>
    </row>
    <row r="526" spans="3:4" ht="18.75" customHeight="1" x14ac:dyDescent="0.45">
      <c r="C526" s="66"/>
      <c r="D526" s="66"/>
    </row>
    <row r="527" spans="3:4" ht="18.75" customHeight="1" x14ac:dyDescent="0.45">
      <c r="C527" s="66"/>
      <c r="D527" s="66"/>
    </row>
    <row r="528" spans="3:4" ht="18.75" customHeight="1" x14ac:dyDescent="0.45">
      <c r="C528" s="66"/>
      <c r="D528" s="66"/>
    </row>
    <row r="529" spans="3:4" ht="18.75" customHeight="1" x14ac:dyDescent="0.45">
      <c r="C529" s="66"/>
      <c r="D529" s="66"/>
    </row>
    <row r="530" spans="3:4" ht="18.75" customHeight="1" x14ac:dyDescent="0.45">
      <c r="C530" s="66"/>
      <c r="D530" s="66"/>
    </row>
    <row r="531" spans="3:4" ht="18.75" customHeight="1" x14ac:dyDescent="0.45">
      <c r="C531" s="66"/>
      <c r="D531" s="66"/>
    </row>
    <row r="532" spans="3:4" ht="18.75" customHeight="1" x14ac:dyDescent="0.45">
      <c r="C532" s="66"/>
      <c r="D532" s="66"/>
    </row>
    <row r="533" spans="3:4" ht="18.75" customHeight="1" x14ac:dyDescent="0.45">
      <c r="C533" s="66"/>
      <c r="D533" s="66"/>
    </row>
    <row r="534" spans="3:4" ht="18.75" customHeight="1" x14ac:dyDescent="0.45">
      <c r="C534" s="66"/>
      <c r="D534" s="66"/>
    </row>
    <row r="535" spans="3:4" ht="18.75" customHeight="1" x14ac:dyDescent="0.45">
      <c r="C535" s="66"/>
      <c r="D535" s="66"/>
    </row>
    <row r="536" spans="3:4" ht="18.75" customHeight="1" x14ac:dyDescent="0.45">
      <c r="C536" s="66"/>
      <c r="D536" s="66"/>
    </row>
    <row r="537" spans="3:4" ht="18.75" customHeight="1" x14ac:dyDescent="0.45">
      <c r="C537" s="66"/>
      <c r="D537" s="66"/>
    </row>
    <row r="538" spans="3:4" ht="18.75" customHeight="1" x14ac:dyDescent="0.45">
      <c r="C538" s="66"/>
      <c r="D538" s="66"/>
    </row>
    <row r="539" spans="3:4" ht="18.75" customHeight="1" x14ac:dyDescent="0.45">
      <c r="C539" s="66"/>
      <c r="D539" s="66"/>
    </row>
    <row r="540" spans="3:4" ht="18.75" customHeight="1" x14ac:dyDescent="0.45">
      <c r="C540" s="66"/>
      <c r="D540" s="66"/>
    </row>
    <row r="541" spans="3:4" ht="18.75" customHeight="1" x14ac:dyDescent="0.45">
      <c r="C541" s="66"/>
      <c r="D541" s="66"/>
    </row>
    <row r="542" spans="3:4" ht="18.75" customHeight="1" x14ac:dyDescent="0.45">
      <c r="C542" s="66"/>
      <c r="D542" s="66"/>
    </row>
    <row r="543" spans="3:4" ht="18.75" customHeight="1" x14ac:dyDescent="0.45">
      <c r="C543" s="66"/>
      <c r="D543" s="66"/>
    </row>
    <row r="544" spans="3:4" ht="18.75" customHeight="1" x14ac:dyDescent="0.45">
      <c r="C544" s="66"/>
      <c r="D544" s="66"/>
    </row>
    <row r="545" spans="3:4" ht="18.75" customHeight="1" x14ac:dyDescent="0.45">
      <c r="C545" s="66"/>
      <c r="D545" s="66"/>
    </row>
    <row r="546" spans="3:4" ht="18.75" customHeight="1" x14ac:dyDescent="0.45">
      <c r="C546" s="66"/>
      <c r="D546" s="66"/>
    </row>
    <row r="547" spans="3:4" ht="18.75" customHeight="1" x14ac:dyDescent="0.45">
      <c r="C547" s="66"/>
      <c r="D547" s="66"/>
    </row>
    <row r="548" spans="3:4" ht="18.75" customHeight="1" x14ac:dyDescent="0.45">
      <c r="C548" s="66"/>
      <c r="D548" s="66"/>
    </row>
    <row r="549" spans="3:4" ht="18.75" customHeight="1" x14ac:dyDescent="0.45">
      <c r="C549" s="66"/>
      <c r="D549" s="66"/>
    </row>
    <row r="550" spans="3:4" ht="18.75" customHeight="1" x14ac:dyDescent="0.45">
      <c r="C550" s="66"/>
      <c r="D550" s="66"/>
    </row>
    <row r="551" spans="3:4" ht="18.75" customHeight="1" x14ac:dyDescent="0.45">
      <c r="C551" s="66"/>
      <c r="D551" s="66"/>
    </row>
    <row r="552" spans="3:4" ht="18.75" customHeight="1" x14ac:dyDescent="0.45">
      <c r="C552" s="66"/>
      <c r="D552" s="66"/>
    </row>
    <row r="553" spans="3:4" ht="18.75" customHeight="1" x14ac:dyDescent="0.45">
      <c r="C553" s="66"/>
      <c r="D553" s="66"/>
    </row>
    <row r="554" spans="3:4" ht="18.75" customHeight="1" x14ac:dyDescent="0.45">
      <c r="C554" s="66"/>
      <c r="D554" s="66"/>
    </row>
    <row r="555" spans="3:4" ht="18.75" customHeight="1" x14ac:dyDescent="0.45">
      <c r="C555" s="66"/>
      <c r="D555" s="66"/>
    </row>
    <row r="556" spans="3:4" ht="18.75" customHeight="1" x14ac:dyDescent="0.45">
      <c r="C556" s="66"/>
      <c r="D556" s="66"/>
    </row>
    <row r="557" spans="3:4" ht="18.75" customHeight="1" x14ac:dyDescent="0.45">
      <c r="C557" s="66"/>
      <c r="D557" s="66"/>
    </row>
    <row r="558" spans="3:4" ht="18.75" customHeight="1" x14ac:dyDescent="0.45">
      <c r="C558" s="66"/>
      <c r="D558" s="66"/>
    </row>
    <row r="559" spans="3:4" ht="18.75" customHeight="1" x14ac:dyDescent="0.45">
      <c r="C559" s="66"/>
      <c r="D559" s="66"/>
    </row>
    <row r="560" spans="3:4" ht="18.75" customHeight="1" x14ac:dyDescent="0.45">
      <c r="C560" s="66"/>
      <c r="D560" s="66"/>
    </row>
    <row r="561" spans="3:4" ht="18.75" customHeight="1" x14ac:dyDescent="0.45">
      <c r="C561" s="66"/>
      <c r="D561" s="66"/>
    </row>
    <row r="562" spans="3:4" ht="18.75" customHeight="1" x14ac:dyDescent="0.45">
      <c r="C562" s="66"/>
      <c r="D562" s="66"/>
    </row>
    <row r="563" spans="3:4" ht="18.75" customHeight="1" x14ac:dyDescent="0.45">
      <c r="C563" s="66"/>
      <c r="D563" s="66"/>
    </row>
    <row r="564" spans="3:4" ht="18.75" customHeight="1" x14ac:dyDescent="0.45">
      <c r="C564" s="66"/>
      <c r="D564" s="66"/>
    </row>
    <row r="565" spans="3:4" ht="18.75" customHeight="1" x14ac:dyDescent="0.45">
      <c r="C565" s="66"/>
      <c r="D565" s="66"/>
    </row>
    <row r="566" spans="3:4" ht="18.75" customHeight="1" x14ac:dyDescent="0.45">
      <c r="C566" s="66"/>
      <c r="D566" s="66"/>
    </row>
    <row r="567" spans="3:4" ht="18.75" customHeight="1" x14ac:dyDescent="0.45">
      <c r="C567" s="66"/>
      <c r="D567" s="66"/>
    </row>
    <row r="568" spans="3:4" ht="18.75" customHeight="1" x14ac:dyDescent="0.45">
      <c r="C568" s="66"/>
      <c r="D568" s="66"/>
    </row>
    <row r="569" spans="3:4" ht="18.75" customHeight="1" x14ac:dyDescent="0.45">
      <c r="C569" s="66"/>
      <c r="D569" s="66"/>
    </row>
    <row r="570" spans="3:4" ht="18.75" customHeight="1" x14ac:dyDescent="0.45">
      <c r="C570" s="66"/>
      <c r="D570" s="66"/>
    </row>
    <row r="571" spans="3:4" ht="18.75" customHeight="1" x14ac:dyDescent="0.45">
      <c r="C571" s="66"/>
      <c r="D571" s="66"/>
    </row>
    <row r="572" spans="3:4" ht="18.75" customHeight="1" x14ac:dyDescent="0.45">
      <c r="C572" s="66"/>
      <c r="D572" s="66"/>
    </row>
    <row r="573" spans="3:4" ht="18.75" customHeight="1" x14ac:dyDescent="0.45">
      <c r="C573" s="66"/>
      <c r="D573" s="66"/>
    </row>
    <row r="574" spans="3:4" ht="18.75" customHeight="1" x14ac:dyDescent="0.45">
      <c r="C574" s="66"/>
      <c r="D574" s="66"/>
    </row>
  </sheetData>
  <autoFilter ref="A6:F59" xr:uid="{2E4F2E22-1A32-48A0-8ACF-9930C6142461}"/>
  <dataConsolidate/>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tabColor theme="4" tint="0.79998168889431442"/>
  </sheetPr>
  <dimension ref="A1:O47"/>
  <sheetViews>
    <sheetView workbookViewId="0">
      <selection activeCell="A2" sqref="A2"/>
    </sheetView>
  </sheetViews>
  <sheetFormatPr defaultRowHeight="18.75" customHeight="1" x14ac:dyDescent="0.45"/>
  <cols>
    <col min="1" max="1" width="21" customWidth="1"/>
    <col min="2" max="2" width="19.73046875" customWidth="1"/>
    <col min="3" max="3" width="15.73046875" style="38" customWidth="1"/>
    <col min="4" max="4" width="19.1328125" customWidth="1"/>
    <col min="7" max="7" width="16.265625" customWidth="1"/>
    <col min="10" max="10" width="16.59765625" customWidth="1"/>
    <col min="11" max="11" width="13.73046875" customWidth="1"/>
    <col min="257" max="257" width="21" customWidth="1"/>
    <col min="258" max="258" width="19.73046875" customWidth="1"/>
    <col min="259" max="259" width="15.73046875" customWidth="1"/>
    <col min="260" max="260" width="19.1328125" customWidth="1"/>
    <col min="263" max="263" width="16.265625" customWidth="1"/>
    <col min="266" max="266" width="16.59765625" customWidth="1"/>
    <col min="267" max="267" width="13.73046875" customWidth="1"/>
    <col min="513" max="513" width="21" customWidth="1"/>
    <col min="514" max="514" width="19.73046875" customWidth="1"/>
    <col min="515" max="515" width="15.73046875" customWidth="1"/>
    <col min="516" max="516" width="19.1328125" customWidth="1"/>
    <col min="519" max="519" width="16.265625" customWidth="1"/>
    <col min="522" max="522" width="16.59765625" customWidth="1"/>
    <col min="523" max="523" width="13.73046875" customWidth="1"/>
    <col min="769" max="769" width="21" customWidth="1"/>
    <col min="770" max="770" width="19.73046875" customWidth="1"/>
    <col min="771" max="771" width="15.73046875" customWidth="1"/>
    <col min="772" max="772" width="19.1328125" customWidth="1"/>
    <col min="775" max="775" width="16.265625" customWidth="1"/>
    <col min="778" max="778" width="16.59765625" customWidth="1"/>
    <col min="779" max="779" width="13.73046875" customWidth="1"/>
    <col min="1025" max="1025" width="21" customWidth="1"/>
    <col min="1026" max="1026" width="19.73046875" customWidth="1"/>
    <col min="1027" max="1027" width="15.73046875" customWidth="1"/>
    <col min="1028" max="1028" width="19.1328125" customWidth="1"/>
    <col min="1031" max="1031" width="16.265625" customWidth="1"/>
    <col min="1034" max="1034" width="16.59765625" customWidth="1"/>
    <col min="1035" max="1035" width="13.73046875" customWidth="1"/>
    <col min="1281" max="1281" width="21" customWidth="1"/>
    <col min="1282" max="1282" width="19.73046875" customWidth="1"/>
    <col min="1283" max="1283" width="15.73046875" customWidth="1"/>
    <col min="1284" max="1284" width="19.1328125" customWidth="1"/>
    <col min="1287" max="1287" width="16.265625" customWidth="1"/>
    <col min="1290" max="1290" width="16.59765625" customWidth="1"/>
    <col min="1291" max="1291" width="13.73046875" customWidth="1"/>
    <col min="1537" max="1537" width="21" customWidth="1"/>
    <col min="1538" max="1538" width="19.73046875" customWidth="1"/>
    <col min="1539" max="1539" width="15.73046875" customWidth="1"/>
    <col min="1540" max="1540" width="19.1328125" customWidth="1"/>
    <col min="1543" max="1543" width="16.265625" customWidth="1"/>
    <col min="1546" max="1546" width="16.59765625" customWidth="1"/>
    <col min="1547" max="1547" width="13.73046875" customWidth="1"/>
    <col min="1793" max="1793" width="21" customWidth="1"/>
    <col min="1794" max="1794" width="19.73046875" customWidth="1"/>
    <col min="1795" max="1795" width="15.73046875" customWidth="1"/>
    <col min="1796" max="1796" width="19.1328125" customWidth="1"/>
    <col min="1799" max="1799" width="16.265625" customWidth="1"/>
    <col min="1802" max="1802" width="16.59765625" customWidth="1"/>
    <col min="1803" max="1803" width="13.73046875" customWidth="1"/>
    <col min="2049" max="2049" width="21" customWidth="1"/>
    <col min="2050" max="2050" width="19.73046875" customWidth="1"/>
    <col min="2051" max="2051" width="15.73046875" customWidth="1"/>
    <col min="2052" max="2052" width="19.1328125" customWidth="1"/>
    <col min="2055" max="2055" width="16.265625" customWidth="1"/>
    <col min="2058" max="2058" width="16.59765625" customWidth="1"/>
    <col min="2059" max="2059" width="13.73046875" customWidth="1"/>
    <col min="2305" max="2305" width="21" customWidth="1"/>
    <col min="2306" max="2306" width="19.73046875" customWidth="1"/>
    <col min="2307" max="2307" width="15.73046875" customWidth="1"/>
    <col min="2308" max="2308" width="19.1328125" customWidth="1"/>
    <col min="2311" max="2311" width="16.265625" customWidth="1"/>
    <col min="2314" max="2314" width="16.59765625" customWidth="1"/>
    <col min="2315" max="2315" width="13.73046875" customWidth="1"/>
    <col min="2561" max="2561" width="21" customWidth="1"/>
    <col min="2562" max="2562" width="19.73046875" customWidth="1"/>
    <col min="2563" max="2563" width="15.73046875" customWidth="1"/>
    <col min="2564" max="2564" width="19.1328125" customWidth="1"/>
    <col min="2567" max="2567" width="16.265625" customWidth="1"/>
    <col min="2570" max="2570" width="16.59765625" customWidth="1"/>
    <col min="2571" max="2571" width="13.73046875" customWidth="1"/>
    <col min="2817" max="2817" width="21" customWidth="1"/>
    <col min="2818" max="2818" width="19.73046875" customWidth="1"/>
    <col min="2819" max="2819" width="15.73046875" customWidth="1"/>
    <col min="2820" max="2820" width="19.1328125" customWidth="1"/>
    <col min="2823" max="2823" width="16.265625" customWidth="1"/>
    <col min="2826" max="2826" width="16.59765625" customWidth="1"/>
    <col min="2827" max="2827" width="13.73046875" customWidth="1"/>
    <col min="3073" max="3073" width="21" customWidth="1"/>
    <col min="3074" max="3074" width="19.73046875" customWidth="1"/>
    <col min="3075" max="3075" width="15.73046875" customWidth="1"/>
    <col min="3076" max="3076" width="19.1328125" customWidth="1"/>
    <col min="3079" max="3079" width="16.265625" customWidth="1"/>
    <col min="3082" max="3082" width="16.59765625" customWidth="1"/>
    <col min="3083" max="3083" width="13.73046875" customWidth="1"/>
    <col min="3329" max="3329" width="21" customWidth="1"/>
    <col min="3330" max="3330" width="19.73046875" customWidth="1"/>
    <col min="3331" max="3331" width="15.73046875" customWidth="1"/>
    <col min="3332" max="3332" width="19.1328125" customWidth="1"/>
    <col min="3335" max="3335" width="16.265625" customWidth="1"/>
    <col min="3338" max="3338" width="16.59765625" customWidth="1"/>
    <col min="3339" max="3339" width="13.73046875" customWidth="1"/>
    <col min="3585" max="3585" width="21" customWidth="1"/>
    <col min="3586" max="3586" width="19.73046875" customWidth="1"/>
    <col min="3587" max="3587" width="15.73046875" customWidth="1"/>
    <col min="3588" max="3588" width="19.1328125" customWidth="1"/>
    <col min="3591" max="3591" width="16.265625" customWidth="1"/>
    <col min="3594" max="3594" width="16.59765625" customWidth="1"/>
    <col min="3595" max="3595" width="13.73046875" customWidth="1"/>
    <col min="3841" max="3841" width="21" customWidth="1"/>
    <col min="3842" max="3842" width="19.73046875" customWidth="1"/>
    <col min="3843" max="3843" width="15.73046875" customWidth="1"/>
    <col min="3844" max="3844" width="19.1328125" customWidth="1"/>
    <col min="3847" max="3847" width="16.265625" customWidth="1"/>
    <col min="3850" max="3850" width="16.59765625" customWidth="1"/>
    <col min="3851" max="3851" width="13.73046875" customWidth="1"/>
    <col min="4097" max="4097" width="21" customWidth="1"/>
    <col min="4098" max="4098" width="19.73046875" customWidth="1"/>
    <col min="4099" max="4099" width="15.73046875" customWidth="1"/>
    <col min="4100" max="4100" width="19.1328125" customWidth="1"/>
    <col min="4103" max="4103" width="16.265625" customWidth="1"/>
    <col min="4106" max="4106" width="16.59765625" customWidth="1"/>
    <col min="4107" max="4107" width="13.73046875" customWidth="1"/>
    <col min="4353" max="4353" width="21" customWidth="1"/>
    <col min="4354" max="4354" width="19.73046875" customWidth="1"/>
    <col min="4355" max="4355" width="15.73046875" customWidth="1"/>
    <col min="4356" max="4356" width="19.1328125" customWidth="1"/>
    <col min="4359" max="4359" width="16.265625" customWidth="1"/>
    <col min="4362" max="4362" width="16.59765625" customWidth="1"/>
    <col min="4363" max="4363" width="13.73046875" customWidth="1"/>
    <col min="4609" max="4609" width="21" customWidth="1"/>
    <col min="4610" max="4610" width="19.73046875" customWidth="1"/>
    <col min="4611" max="4611" width="15.73046875" customWidth="1"/>
    <col min="4612" max="4612" width="19.1328125" customWidth="1"/>
    <col min="4615" max="4615" width="16.265625" customWidth="1"/>
    <col min="4618" max="4618" width="16.59765625" customWidth="1"/>
    <col min="4619" max="4619" width="13.73046875" customWidth="1"/>
    <col min="4865" max="4865" width="21" customWidth="1"/>
    <col min="4866" max="4866" width="19.73046875" customWidth="1"/>
    <col min="4867" max="4867" width="15.73046875" customWidth="1"/>
    <col min="4868" max="4868" width="19.1328125" customWidth="1"/>
    <col min="4871" max="4871" width="16.265625" customWidth="1"/>
    <col min="4874" max="4874" width="16.59765625" customWidth="1"/>
    <col min="4875" max="4875" width="13.73046875" customWidth="1"/>
    <col min="5121" max="5121" width="21" customWidth="1"/>
    <col min="5122" max="5122" width="19.73046875" customWidth="1"/>
    <col min="5123" max="5123" width="15.73046875" customWidth="1"/>
    <col min="5124" max="5124" width="19.1328125" customWidth="1"/>
    <col min="5127" max="5127" width="16.265625" customWidth="1"/>
    <col min="5130" max="5130" width="16.59765625" customWidth="1"/>
    <col min="5131" max="5131" width="13.73046875" customWidth="1"/>
    <col min="5377" max="5377" width="21" customWidth="1"/>
    <col min="5378" max="5378" width="19.73046875" customWidth="1"/>
    <col min="5379" max="5379" width="15.73046875" customWidth="1"/>
    <col min="5380" max="5380" width="19.1328125" customWidth="1"/>
    <col min="5383" max="5383" width="16.265625" customWidth="1"/>
    <col min="5386" max="5386" width="16.59765625" customWidth="1"/>
    <col min="5387" max="5387" width="13.73046875" customWidth="1"/>
    <col min="5633" max="5633" width="21" customWidth="1"/>
    <col min="5634" max="5634" width="19.73046875" customWidth="1"/>
    <col min="5635" max="5635" width="15.73046875" customWidth="1"/>
    <col min="5636" max="5636" width="19.1328125" customWidth="1"/>
    <col min="5639" max="5639" width="16.265625" customWidth="1"/>
    <col min="5642" max="5642" width="16.59765625" customWidth="1"/>
    <col min="5643" max="5643" width="13.73046875" customWidth="1"/>
    <col min="5889" max="5889" width="21" customWidth="1"/>
    <col min="5890" max="5890" width="19.73046875" customWidth="1"/>
    <col min="5891" max="5891" width="15.73046875" customWidth="1"/>
    <col min="5892" max="5892" width="19.1328125" customWidth="1"/>
    <col min="5895" max="5895" width="16.265625" customWidth="1"/>
    <col min="5898" max="5898" width="16.59765625" customWidth="1"/>
    <col min="5899" max="5899" width="13.73046875" customWidth="1"/>
    <col min="6145" max="6145" width="21" customWidth="1"/>
    <col min="6146" max="6146" width="19.73046875" customWidth="1"/>
    <col min="6147" max="6147" width="15.73046875" customWidth="1"/>
    <col min="6148" max="6148" width="19.1328125" customWidth="1"/>
    <col min="6151" max="6151" width="16.265625" customWidth="1"/>
    <col min="6154" max="6154" width="16.59765625" customWidth="1"/>
    <col min="6155" max="6155" width="13.73046875" customWidth="1"/>
    <col min="6401" max="6401" width="21" customWidth="1"/>
    <col min="6402" max="6402" width="19.73046875" customWidth="1"/>
    <col min="6403" max="6403" width="15.73046875" customWidth="1"/>
    <col min="6404" max="6404" width="19.1328125" customWidth="1"/>
    <col min="6407" max="6407" width="16.265625" customWidth="1"/>
    <col min="6410" max="6410" width="16.59765625" customWidth="1"/>
    <col min="6411" max="6411" width="13.73046875" customWidth="1"/>
    <col min="6657" max="6657" width="21" customWidth="1"/>
    <col min="6658" max="6658" width="19.73046875" customWidth="1"/>
    <col min="6659" max="6659" width="15.73046875" customWidth="1"/>
    <col min="6660" max="6660" width="19.1328125" customWidth="1"/>
    <col min="6663" max="6663" width="16.265625" customWidth="1"/>
    <col min="6666" max="6666" width="16.59765625" customWidth="1"/>
    <col min="6667" max="6667" width="13.73046875" customWidth="1"/>
    <col min="6913" max="6913" width="21" customWidth="1"/>
    <col min="6914" max="6914" width="19.73046875" customWidth="1"/>
    <col min="6915" max="6915" width="15.73046875" customWidth="1"/>
    <col min="6916" max="6916" width="19.1328125" customWidth="1"/>
    <col min="6919" max="6919" width="16.265625" customWidth="1"/>
    <col min="6922" max="6922" width="16.59765625" customWidth="1"/>
    <col min="6923" max="6923" width="13.73046875" customWidth="1"/>
    <col min="7169" max="7169" width="21" customWidth="1"/>
    <col min="7170" max="7170" width="19.73046875" customWidth="1"/>
    <col min="7171" max="7171" width="15.73046875" customWidth="1"/>
    <col min="7172" max="7172" width="19.1328125" customWidth="1"/>
    <col min="7175" max="7175" width="16.265625" customWidth="1"/>
    <col min="7178" max="7178" width="16.59765625" customWidth="1"/>
    <col min="7179" max="7179" width="13.73046875" customWidth="1"/>
    <col min="7425" max="7425" width="21" customWidth="1"/>
    <col min="7426" max="7426" width="19.73046875" customWidth="1"/>
    <col min="7427" max="7427" width="15.73046875" customWidth="1"/>
    <col min="7428" max="7428" width="19.1328125" customWidth="1"/>
    <col min="7431" max="7431" width="16.265625" customWidth="1"/>
    <col min="7434" max="7434" width="16.59765625" customWidth="1"/>
    <col min="7435" max="7435" width="13.73046875" customWidth="1"/>
    <col min="7681" max="7681" width="21" customWidth="1"/>
    <col min="7682" max="7682" width="19.73046875" customWidth="1"/>
    <col min="7683" max="7683" width="15.73046875" customWidth="1"/>
    <col min="7684" max="7684" width="19.1328125" customWidth="1"/>
    <col min="7687" max="7687" width="16.265625" customWidth="1"/>
    <col min="7690" max="7690" width="16.59765625" customWidth="1"/>
    <col min="7691" max="7691" width="13.73046875" customWidth="1"/>
    <col min="7937" max="7937" width="21" customWidth="1"/>
    <col min="7938" max="7938" width="19.73046875" customWidth="1"/>
    <col min="7939" max="7939" width="15.73046875" customWidth="1"/>
    <col min="7940" max="7940" width="19.1328125" customWidth="1"/>
    <col min="7943" max="7943" width="16.265625" customWidth="1"/>
    <col min="7946" max="7946" width="16.59765625" customWidth="1"/>
    <col min="7947" max="7947" width="13.73046875" customWidth="1"/>
    <col min="8193" max="8193" width="21" customWidth="1"/>
    <col min="8194" max="8194" width="19.73046875" customWidth="1"/>
    <col min="8195" max="8195" width="15.73046875" customWidth="1"/>
    <col min="8196" max="8196" width="19.1328125" customWidth="1"/>
    <col min="8199" max="8199" width="16.265625" customWidth="1"/>
    <col min="8202" max="8202" width="16.59765625" customWidth="1"/>
    <col min="8203" max="8203" width="13.73046875" customWidth="1"/>
    <col min="8449" max="8449" width="21" customWidth="1"/>
    <col min="8450" max="8450" width="19.73046875" customWidth="1"/>
    <col min="8451" max="8451" width="15.73046875" customWidth="1"/>
    <col min="8452" max="8452" width="19.1328125" customWidth="1"/>
    <col min="8455" max="8455" width="16.265625" customWidth="1"/>
    <col min="8458" max="8458" width="16.59765625" customWidth="1"/>
    <col min="8459" max="8459" width="13.73046875" customWidth="1"/>
    <col min="8705" max="8705" width="21" customWidth="1"/>
    <col min="8706" max="8706" width="19.73046875" customWidth="1"/>
    <col min="8707" max="8707" width="15.73046875" customWidth="1"/>
    <col min="8708" max="8708" width="19.1328125" customWidth="1"/>
    <col min="8711" max="8711" width="16.265625" customWidth="1"/>
    <col min="8714" max="8714" width="16.59765625" customWidth="1"/>
    <col min="8715" max="8715" width="13.73046875" customWidth="1"/>
    <col min="8961" max="8961" width="21" customWidth="1"/>
    <col min="8962" max="8962" width="19.73046875" customWidth="1"/>
    <col min="8963" max="8963" width="15.73046875" customWidth="1"/>
    <col min="8964" max="8964" width="19.1328125" customWidth="1"/>
    <col min="8967" max="8967" width="16.265625" customWidth="1"/>
    <col min="8970" max="8970" width="16.59765625" customWidth="1"/>
    <col min="8971" max="8971" width="13.73046875" customWidth="1"/>
    <col min="9217" max="9217" width="21" customWidth="1"/>
    <col min="9218" max="9218" width="19.73046875" customWidth="1"/>
    <col min="9219" max="9219" width="15.73046875" customWidth="1"/>
    <col min="9220" max="9220" width="19.1328125" customWidth="1"/>
    <col min="9223" max="9223" width="16.265625" customWidth="1"/>
    <col min="9226" max="9226" width="16.59765625" customWidth="1"/>
    <col min="9227" max="9227" width="13.73046875" customWidth="1"/>
    <col min="9473" max="9473" width="21" customWidth="1"/>
    <col min="9474" max="9474" width="19.73046875" customWidth="1"/>
    <col min="9475" max="9475" width="15.73046875" customWidth="1"/>
    <col min="9476" max="9476" width="19.1328125" customWidth="1"/>
    <col min="9479" max="9479" width="16.265625" customWidth="1"/>
    <col min="9482" max="9482" width="16.59765625" customWidth="1"/>
    <col min="9483" max="9483" width="13.73046875" customWidth="1"/>
    <col min="9729" max="9729" width="21" customWidth="1"/>
    <col min="9730" max="9730" width="19.73046875" customWidth="1"/>
    <col min="9731" max="9731" width="15.73046875" customWidth="1"/>
    <col min="9732" max="9732" width="19.1328125" customWidth="1"/>
    <col min="9735" max="9735" width="16.265625" customWidth="1"/>
    <col min="9738" max="9738" width="16.59765625" customWidth="1"/>
    <col min="9739" max="9739" width="13.73046875" customWidth="1"/>
    <col min="9985" max="9985" width="21" customWidth="1"/>
    <col min="9986" max="9986" width="19.73046875" customWidth="1"/>
    <col min="9987" max="9987" width="15.73046875" customWidth="1"/>
    <col min="9988" max="9988" width="19.1328125" customWidth="1"/>
    <col min="9991" max="9991" width="16.265625" customWidth="1"/>
    <col min="9994" max="9994" width="16.59765625" customWidth="1"/>
    <col min="9995" max="9995" width="13.73046875" customWidth="1"/>
    <col min="10241" max="10241" width="21" customWidth="1"/>
    <col min="10242" max="10242" width="19.73046875" customWidth="1"/>
    <col min="10243" max="10243" width="15.73046875" customWidth="1"/>
    <col min="10244" max="10244" width="19.1328125" customWidth="1"/>
    <col min="10247" max="10247" width="16.265625" customWidth="1"/>
    <col min="10250" max="10250" width="16.59765625" customWidth="1"/>
    <col min="10251" max="10251" width="13.73046875" customWidth="1"/>
    <col min="10497" max="10497" width="21" customWidth="1"/>
    <col min="10498" max="10498" width="19.73046875" customWidth="1"/>
    <col min="10499" max="10499" width="15.73046875" customWidth="1"/>
    <col min="10500" max="10500" width="19.1328125" customWidth="1"/>
    <col min="10503" max="10503" width="16.265625" customWidth="1"/>
    <col min="10506" max="10506" width="16.59765625" customWidth="1"/>
    <col min="10507" max="10507" width="13.73046875" customWidth="1"/>
    <col min="10753" max="10753" width="21" customWidth="1"/>
    <col min="10754" max="10754" width="19.73046875" customWidth="1"/>
    <col min="10755" max="10755" width="15.73046875" customWidth="1"/>
    <col min="10756" max="10756" width="19.1328125" customWidth="1"/>
    <col min="10759" max="10759" width="16.265625" customWidth="1"/>
    <col min="10762" max="10762" width="16.59765625" customWidth="1"/>
    <col min="10763" max="10763" width="13.73046875" customWidth="1"/>
    <col min="11009" max="11009" width="21" customWidth="1"/>
    <col min="11010" max="11010" width="19.73046875" customWidth="1"/>
    <col min="11011" max="11011" width="15.73046875" customWidth="1"/>
    <col min="11012" max="11012" width="19.1328125" customWidth="1"/>
    <col min="11015" max="11015" width="16.265625" customWidth="1"/>
    <col min="11018" max="11018" width="16.59765625" customWidth="1"/>
    <col min="11019" max="11019" width="13.73046875" customWidth="1"/>
    <col min="11265" max="11265" width="21" customWidth="1"/>
    <col min="11266" max="11266" width="19.73046875" customWidth="1"/>
    <col min="11267" max="11267" width="15.73046875" customWidth="1"/>
    <col min="11268" max="11268" width="19.1328125" customWidth="1"/>
    <col min="11271" max="11271" width="16.265625" customWidth="1"/>
    <col min="11274" max="11274" width="16.59765625" customWidth="1"/>
    <col min="11275" max="11275" width="13.73046875" customWidth="1"/>
    <col min="11521" max="11521" width="21" customWidth="1"/>
    <col min="11522" max="11522" width="19.73046875" customWidth="1"/>
    <col min="11523" max="11523" width="15.73046875" customWidth="1"/>
    <col min="11524" max="11524" width="19.1328125" customWidth="1"/>
    <col min="11527" max="11527" width="16.265625" customWidth="1"/>
    <col min="11530" max="11530" width="16.59765625" customWidth="1"/>
    <col min="11531" max="11531" width="13.73046875" customWidth="1"/>
    <col min="11777" max="11777" width="21" customWidth="1"/>
    <col min="11778" max="11778" width="19.73046875" customWidth="1"/>
    <col min="11779" max="11779" width="15.73046875" customWidth="1"/>
    <col min="11780" max="11780" width="19.1328125" customWidth="1"/>
    <col min="11783" max="11783" width="16.265625" customWidth="1"/>
    <col min="11786" max="11786" width="16.59765625" customWidth="1"/>
    <col min="11787" max="11787" width="13.73046875" customWidth="1"/>
    <col min="12033" max="12033" width="21" customWidth="1"/>
    <col min="12034" max="12034" width="19.73046875" customWidth="1"/>
    <col min="12035" max="12035" width="15.73046875" customWidth="1"/>
    <col min="12036" max="12036" width="19.1328125" customWidth="1"/>
    <col min="12039" max="12039" width="16.265625" customWidth="1"/>
    <col min="12042" max="12042" width="16.59765625" customWidth="1"/>
    <col min="12043" max="12043" width="13.73046875" customWidth="1"/>
    <col min="12289" max="12289" width="21" customWidth="1"/>
    <col min="12290" max="12290" width="19.73046875" customWidth="1"/>
    <col min="12291" max="12291" width="15.73046875" customWidth="1"/>
    <col min="12292" max="12292" width="19.1328125" customWidth="1"/>
    <col min="12295" max="12295" width="16.265625" customWidth="1"/>
    <col min="12298" max="12298" width="16.59765625" customWidth="1"/>
    <col min="12299" max="12299" width="13.73046875" customWidth="1"/>
    <col min="12545" max="12545" width="21" customWidth="1"/>
    <col min="12546" max="12546" width="19.73046875" customWidth="1"/>
    <col min="12547" max="12547" width="15.73046875" customWidth="1"/>
    <col min="12548" max="12548" width="19.1328125" customWidth="1"/>
    <col min="12551" max="12551" width="16.265625" customWidth="1"/>
    <col min="12554" max="12554" width="16.59765625" customWidth="1"/>
    <col min="12555" max="12555" width="13.73046875" customWidth="1"/>
    <col min="12801" max="12801" width="21" customWidth="1"/>
    <col min="12802" max="12802" width="19.73046875" customWidth="1"/>
    <col min="12803" max="12803" width="15.73046875" customWidth="1"/>
    <col min="12804" max="12804" width="19.1328125" customWidth="1"/>
    <col min="12807" max="12807" width="16.265625" customWidth="1"/>
    <col min="12810" max="12810" width="16.59765625" customWidth="1"/>
    <col min="12811" max="12811" width="13.73046875" customWidth="1"/>
    <col min="13057" max="13057" width="21" customWidth="1"/>
    <col min="13058" max="13058" width="19.73046875" customWidth="1"/>
    <col min="13059" max="13059" width="15.73046875" customWidth="1"/>
    <col min="13060" max="13060" width="19.1328125" customWidth="1"/>
    <col min="13063" max="13063" width="16.265625" customWidth="1"/>
    <col min="13066" max="13066" width="16.59765625" customWidth="1"/>
    <col min="13067" max="13067" width="13.73046875" customWidth="1"/>
    <col min="13313" max="13313" width="21" customWidth="1"/>
    <col min="13314" max="13314" width="19.73046875" customWidth="1"/>
    <col min="13315" max="13315" width="15.73046875" customWidth="1"/>
    <col min="13316" max="13316" width="19.1328125" customWidth="1"/>
    <col min="13319" max="13319" width="16.265625" customWidth="1"/>
    <col min="13322" max="13322" width="16.59765625" customWidth="1"/>
    <col min="13323" max="13323" width="13.73046875" customWidth="1"/>
    <col min="13569" max="13569" width="21" customWidth="1"/>
    <col min="13570" max="13570" width="19.73046875" customWidth="1"/>
    <col min="13571" max="13571" width="15.73046875" customWidth="1"/>
    <col min="13572" max="13572" width="19.1328125" customWidth="1"/>
    <col min="13575" max="13575" width="16.265625" customWidth="1"/>
    <col min="13578" max="13578" width="16.59765625" customWidth="1"/>
    <col min="13579" max="13579" width="13.73046875" customWidth="1"/>
    <col min="13825" max="13825" width="21" customWidth="1"/>
    <col min="13826" max="13826" width="19.73046875" customWidth="1"/>
    <col min="13827" max="13827" width="15.73046875" customWidth="1"/>
    <col min="13828" max="13828" width="19.1328125" customWidth="1"/>
    <col min="13831" max="13831" width="16.265625" customWidth="1"/>
    <col min="13834" max="13834" width="16.59765625" customWidth="1"/>
    <col min="13835" max="13835" width="13.73046875" customWidth="1"/>
    <col min="14081" max="14081" width="21" customWidth="1"/>
    <col min="14082" max="14082" width="19.73046875" customWidth="1"/>
    <col min="14083" max="14083" width="15.73046875" customWidth="1"/>
    <col min="14084" max="14084" width="19.1328125" customWidth="1"/>
    <col min="14087" max="14087" width="16.265625" customWidth="1"/>
    <col min="14090" max="14090" width="16.59765625" customWidth="1"/>
    <col min="14091" max="14091" width="13.73046875" customWidth="1"/>
    <col min="14337" max="14337" width="21" customWidth="1"/>
    <col min="14338" max="14338" width="19.73046875" customWidth="1"/>
    <col min="14339" max="14339" width="15.73046875" customWidth="1"/>
    <col min="14340" max="14340" width="19.1328125" customWidth="1"/>
    <col min="14343" max="14343" width="16.265625" customWidth="1"/>
    <col min="14346" max="14346" width="16.59765625" customWidth="1"/>
    <col min="14347" max="14347" width="13.73046875" customWidth="1"/>
    <col min="14593" max="14593" width="21" customWidth="1"/>
    <col min="14594" max="14594" width="19.73046875" customWidth="1"/>
    <col min="14595" max="14595" width="15.73046875" customWidth="1"/>
    <col min="14596" max="14596" width="19.1328125" customWidth="1"/>
    <col min="14599" max="14599" width="16.265625" customWidth="1"/>
    <col min="14602" max="14602" width="16.59765625" customWidth="1"/>
    <col min="14603" max="14603" width="13.73046875" customWidth="1"/>
    <col min="14849" max="14849" width="21" customWidth="1"/>
    <col min="14850" max="14850" width="19.73046875" customWidth="1"/>
    <col min="14851" max="14851" width="15.73046875" customWidth="1"/>
    <col min="14852" max="14852" width="19.1328125" customWidth="1"/>
    <col min="14855" max="14855" width="16.265625" customWidth="1"/>
    <col min="14858" max="14858" width="16.59765625" customWidth="1"/>
    <col min="14859" max="14859" width="13.73046875" customWidth="1"/>
    <col min="15105" max="15105" width="21" customWidth="1"/>
    <col min="15106" max="15106" width="19.73046875" customWidth="1"/>
    <col min="15107" max="15107" width="15.73046875" customWidth="1"/>
    <col min="15108" max="15108" width="19.1328125" customWidth="1"/>
    <col min="15111" max="15111" width="16.265625" customWidth="1"/>
    <col min="15114" max="15114" width="16.59765625" customWidth="1"/>
    <col min="15115" max="15115" width="13.73046875" customWidth="1"/>
    <col min="15361" max="15361" width="21" customWidth="1"/>
    <col min="15362" max="15362" width="19.73046875" customWidth="1"/>
    <col min="15363" max="15363" width="15.73046875" customWidth="1"/>
    <col min="15364" max="15364" width="19.1328125" customWidth="1"/>
    <col min="15367" max="15367" width="16.265625" customWidth="1"/>
    <col min="15370" max="15370" width="16.59765625" customWidth="1"/>
    <col min="15371" max="15371" width="13.73046875" customWidth="1"/>
    <col min="15617" max="15617" width="21" customWidth="1"/>
    <col min="15618" max="15618" width="19.73046875" customWidth="1"/>
    <col min="15619" max="15619" width="15.73046875" customWidth="1"/>
    <col min="15620" max="15620" width="19.1328125" customWidth="1"/>
    <col min="15623" max="15623" width="16.265625" customWidth="1"/>
    <col min="15626" max="15626" width="16.59765625" customWidth="1"/>
    <col min="15627" max="15627" width="13.73046875" customWidth="1"/>
    <col min="15873" max="15873" width="21" customWidth="1"/>
    <col min="15874" max="15874" width="19.73046875" customWidth="1"/>
    <col min="15875" max="15875" width="15.73046875" customWidth="1"/>
    <col min="15876" max="15876" width="19.1328125" customWidth="1"/>
    <col min="15879" max="15879" width="16.265625" customWidth="1"/>
    <col min="15882" max="15882" width="16.59765625" customWidth="1"/>
    <col min="15883" max="15883" width="13.73046875" customWidth="1"/>
    <col min="16129" max="16129" width="21" customWidth="1"/>
    <col min="16130" max="16130" width="19.73046875" customWidth="1"/>
    <col min="16131" max="16131" width="15.73046875" customWidth="1"/>
    <col min="16132" max="16132" width="19.1328125" customWidth="1"/>
    <col min="16135" max="16135" width="16.265625" customWidth="1"/>
    <col min="16138" max="16138" width="16.59765625" customWidth="1"/>
    <col min="16139" max="16139" width="13.73046875" customWidth="1"/>
  </cols>
  <sheetData>
    <row r="1" spans="1:15" ht="24" customHeight="1" x14ac:dyDescent="0.7">
      <c r="A1" s="1" t="s">
        <v>1312</v>
      </c>
    </row>
    <row r="2" spans="1:15" ht="24" customHeight="1" x14ac:dyDescent="0.7">
      <c r="A2" s="1"/>
    </row>
    <row r="3" spans="1:15" ht="18.75" customHeight="1" x14ac:dyDescent="0.45">
      <c r="J3" t="s">
        <v>582</v>
      </c>
    </row>
    <row r="4" spans="1:15" ht="18.75" customHeight="1" x14ac:dyDescent="0.55000000000000004">
      <c r="A4" s="77" t="s">
        <v>484</v>
      </c>
      <c r="B4" s="77" t="s">
        <v>485</v>
      </c>
      <c r="C4" s="27" t="s">
        <v>486</v>
      </c>
      <c r="D4" s="27" t="s">
        <v>487</v>
      </c>
      <c r="E4" s="36"/>
      <c r="F4" s="36"/>
      <c r="G4" s="78" t="s">
        <v>488</v>
      </c>
      <c r="H4" s="80"/>
      <c r="I4" s="36"/>
      <c r="J4" s="27" t="s">
        <v>485</v>
      </c>
    </row>
    <row r="5" spans="1:15" ht="18.75" customHeight="1" x14ac:dyDescent="0.5">
      <c r="A5" s="3" t="s">
        <v>490</v>
      </c>
      <c r="B5" s="3" t="s">
        <v>491</v>
      </c>
      <c r="C5" s="8">
        <v>9</v>
      </c>
      <c r="D5" s="3">
        <v>289</v>
      </c>
      <c r="E5" s="3"/>
      <c r="F5" s="3"/>
      <c r="G5" s="3" t="s">
        <v>492</v>
      </c>
      <c r="H5" s="3">
        <f>SUMIF($B$5:$B$36,"Math",D$5:D$36)</f>
        <v>2815</v>
      </c>
      <c r="I5" s="3"/>
      <c r="J5" s="3" t="s">
        <v>492</v>
      </c>
      <c r="L5" s="3"/>
      <c r="M5" s="3"/>
      <c r="N5" s="3"/>
      <c r="O5" s="3"/>
    </row>
    <row r="6" spans="1:15" ht="18.75" customHeight="1" x14ac:dyDescent="0.5">
      <c r="A6" s="3" t="s">
        <v>490</v>
      </c>
      <c r="B6" s="3" t="s">
        <v>492</v>
      </c>
      <c r="C6" s="8">
        <v>10</v>
      </c>
      <c r="D6" s="3">
        <v>291</v>
      </c>
      <c r="E6" s="3"/>
      <c r="F6" s="3"/>
      <c r="G6" s="3" t="s">
        <v>493</v>
      </c>
      <c r="H6" s="3">
        <f>SUMIF($B$5:$B$36,"English",D$5:D$36)</f>
        <v>2827</v>
      </c>
      <c r="I6" s="3"/>
      <c r="J6" s="3" t="s">
        <v>493</v>
      </c>
      <c r="L6" s="3"/>
      <c r="M6" s="3"/>
      <c r="N6" s="3"/>
      <c r="O6" s="3"/>
    </row>
    <row r="7" spans="1:15" ht="18.75" customHeight="1" x14ac:dyDescent="0.5">
      <c r="A7" s="3" t="s">
        <v>490</v>
      </c>
      <c r="B7" s="3" t="s">
        <v>493</v>
      </c>
      <c r="C7" s="8">
        <v>11</v>
      </c>
      <c r="D7" s="3">
        <v>293</v>
      </c>
      <c r="E7" s="3"/>
      <c r="F7" s="3"/>
      <c r="G7" s="3" t="s">
        <v>491</v>
      </c>
      <c r="H7" s="3">
        <f>SUMIF($B$5:$B$36,"Science",D$5:D$36)</f>
        <v>2811</v>
      </c>
      <c r="I7" s="3"/>
      <c r="J7" s="3" t="s">
        <v>491</v>
      </c>
      <c r="L7" s="3"/>
      <c r="M7" s="3"/>
      <c r="N7" s="3"/>
      <c r="O7" s="3"/>
    </row>
    <row r="8" spans="1:15" ht="18.75" customHeight="1" x14ac:dyDescent="0.5">
      <c r="A8" s="3" t="s">
        <v>490</v>
      </c>
      <c r="B8" s="3" t="s">
        <v>496</v>
      </c>
      <c r="C8" s="8">
        <v>12</v>
      </c>
      <c r="D8" s="3">
        <v>291</v>
      </c>
      <c r="E8" s="3"/>
      <c r="F8" s="3"/>
      <c r="G8" s="3" t="s">
        <v>496</v>
      </c>
      <c r="H8" s="3">
        <f>SUMIF($B$5:$B$36,"History",D$5:D$36)</f>
        <v>2818</v>
      </c>
      <c r="I8" s="3"/>
      <c r="J8" s="3" t="s">
        <v>496</v>
      </c>
      <c r="L8" s="3"/>
      <c r="M8" s="3"/>
      <c r="N8" s="3"/>
      <c r="O8" s="3"/>
    </row>
    <row r="9" spans="1:15" ht="18.75" customHeight="1" x14ac:dyDescent="0.5">
      <c r="A9" s="3" t="s">
        <v>494</v>
      </c>
      <c r="B9" s="3" t="s">
        <v>491</v>
      </c>
      <c r="C9" s="8">
        <v>9</v>
      </c>
      <c r="D9" s="3">
        <v>301</v>
      </c>
      <c r="E9" s="3"/>
      <c r="F9" s="3"/>
      <c r="G9" s="4" t="s">
        <v>498</v>
      </c>
      <c r="H9" s="4">
        <f>SUM(H5:H8)</f>
        <v>11271</v>
      </c>
      <c r="I9" s="3"/>
      <c r="L9" s="3"/>
      <c r="M9" s="3"/>
      <c r="N9" s="3"/>
      <c r="O9" s="3"/>
    </row>
    <row r="10" spans="1:15" ht="18.75" customHeight="1" x14ac:dyDescent="0.5">
      <c r="A10" s="3" t="s">
        <v>494</v>
      </c>
      <c r="B10" s="3" t="s">
        <v>492</v>
      </c>
      <c r="C10" s="8">
        <v>10</v>
      </c>
      <c r="D10" s="3">
        <v>299</v>
      </c>
      <c r="E10" s="3"/>
      <c r="F10" s="3"/>
      <c r="G10" s="3"/>
      <c r="H10" s="3"/>
      <c r="I10" s="3"/>
      <c r="L10" s="3"/>
      <c r="M10" s="3"/>
      <c r="N10" s="3"/>
      <c r="O10" s="3"/>
    </row>
    <row r="11" spans="1:15" ht="18.75" customHeight="1" x14ac:dyDescent="0.5">
      <c r="A11" s="3" t="s">
        <v>494</v>
      </c>
      <c r="B11" s="3" t="s">
        <v>493</v>
      </c>
      <c r="C11" s="8">
        <v>11</v>
      </c>
      <c r="D11" s="3">
        <v>299</v>
      </c>
      <c r="E11" s="3"/>
      <c r="F11" s="3"/>
      <c r="G11" s="3"/>
      <c r="H11" s="3"/>
      <c r="I11" s="3"/>
      <c r="L11" s="3"/>
      <c r="M11" s="3"/>
      <c r="N11" s="3"/>
      <c r="O11" s="3"/>
    </row>
    <row r="12" spans="1:15" ht="18.75" customHeight="1" x14ac:dyDescent="0.55000000000000004">
      <c r="A12" s="3" t="s">
        <v>494</v>
      </c>
      <c r="B12" s="3" t="s">
        <v>496</v>
      </c>
      <c r="C12" s="8">
        <v>12</v>
      </c>
      <c r="D12" s="3">
        <v>302</v>
      </c>
      <c r="E12" s="3"/>
      <c r="F12" s="3"/>
      <c r="G12" s="78" t="s">
        <v>503</v>
      </c>
      <c r="H12" s="80"/>
      <c r="I12" s="3"/>
      <c r="J12" s="69"/>
      <c r="L12" s="3"/>
      <c r="M12" s="3"/>
      <c r="N12" s="3"/>
      <c r="O12" s="3"/>
    </row>
    <row r="13" spans="1:15" ht="18.75" customHeight="1" x14ac:dyDescent="0.5">
      <c r="A13" s="3" t="s">
        <v>495</v>
      </c>
      <c r="B13" s="3" t="s">
        <v>491</v>
      </c>
      <c r="C13" s="8">
        <v>9</v>
      </c>
      <c r="D13" s="3">
        <v>178</v>
      </c>
      <c r="E13" s="3"/>
      <c r="F13" s="3"/>
      <c r="G13" s="8">
        <v>9</v>
      </c>
      <c r="H13" s="3">
        <f>SUMIF($C$5:$C$36,"9",D$5:D$36)</f>
        <v>2811</v>
      </c>
      <c r="I13" s="3"/>
      <c r="L13" s="3"/>
      <c r="M13" s="3"/>
      <c r="N13" s="3"/>
      <c r="O13" s="3"/>
    </row>
    <row r="14" spans="1:15" ht="18.75" customHeight="1" x14ac:dyDescent="0.5">
      <c r="A14" s="3" t="s">
        <v>495</v>
      </c>
      <c r="B14" s="3" t="s">
        <v>492</v>
      </c>
      <c r="C14" s="8">
        <v>10</v>
      </c>
      <c r="D14" s="3">
        <v>180</v>
      </c>
      <c r="E14" s="3"/>
      <c r="F14" s="3"/>
      <c r="G14" s="8">
        <v>10</v>
      </c>
      <c r="H14" s="3">
        <f>SUMIF($C$5:$C$36,"10",D$5:D$36)</f>
        <v>2815</v>
      </c>
      <c r="I14" s="3"/>
      <c r="J14" s="3"/>
      <c r="K14" s="3"/>
      <c r="L14" s="3"/>
      <c r="M14" s="3"/>
      <c r="N14" s="3"/>
      <c r="O14" s="3"/>
    </row>
    <row r="15" spans="1:15" ht="18.75" customHeight="1" x14ac:dyDescent="0.5">
      <c r="A15" s="3" t="s">
        <v>495</v>
      </c>
      <c r="B15" s="3" t="s">
        <v>493</v>
      </c>
      <c r="C15" s="8">
        <v>11</v>
      </c>
      <c r="D15" s="3">
        <v>190</v>
      </c>
      <c r="E15" s="3"/>
      <c r="F15" s="3"/>
      <c r="G15" s="8">
        <v>11</v>
      </c>
      <c r="H15" s="3">
        <f>SUMIF($C$5:$C$36,"11",D$5:D$36)</f>
        <v>2827</v>
      </c>
      <c r="I15" s="3"/>
      <c r="J15" s="3"/>
      <c r="K15" s="3"/>
      <c r="L15" s="3"/>
      <c r="M15" s="3"/>
      <c r="N15" s="3"/>
      <c r="O15" s="3"/>
    </row>
    <row r="16" spans="1:15" ht="18.75" customHeight="1" x14ac:dyDescent="0.5">
      <c r="A16" s="3" t="s">
        <v>495</v>
      </c>
      <c r="B16" s="3" t="s">
        <v>496</v>
      </c>
      <c r="C16" s="8">
        <v>12</v>
      </c>
      <c r="D16" s="3">
        <v>180</v>
      </c>
      <c r="E16" s="3"/>
      <c r="F16" s="3"/>
      <c r="G16" s="8">
        <v>12</v>
      </c>
      <c r="H16" s="3">
        <f>SUMIF($C$5:$C$36,"12",D$5:D$36)</f>
        <v>2818</v>
      </c>
      <c r="I16" s="3"/>
      <c r="J16" s="3"/>
      <c r="K16" s="3"/>
      <c r="L16" s="3"/>
      <c r="M16" s="3"/>
      <c r="N16" s="3"/>
      <c r="O16" s="3"/>
    </row>
    <row r="17" spans="1:15" ht="18.75" customHeight="1" x14ac:dyDescent="0.5">
      <c r="A17" s="3" t="s">
        <v>497</v>
      </c>
      <c r="B17" s="3" t="s">
        <v>491</v>
      </c>
      <c r="C17" s="8">
        <v>9</v>
      </c>
      <c r="D17" s="3">
        <v>428</v>
      </c>
      <c r="E17" s="3"/>
      <c r="F17" s="3"/>
      <c r="G17" s="4" t="s">
        <v>498</v>
      </c>
      <c r="H17" s="4">
        <f>SUM(H13:H16)</f>
        <v>11271</v>
      </c>
      <c r="I17" s="3"/>
      <c r="J17" s="3"/>
      <c r="K17" s="3"/>
      <c r="L17" s="3"/>
      <c r="M17" s="3"/>
      <c r="N17" s="3"/>
      <c r="O17" s="3"/>
    </row>
    <row r="18" spans="1:15" ht="18.75" customHeight="1" x14ac:dyDescent="0.5">
      <c r="A18" s="3" t="s">
        <v>497</v>
      </c>
      <c r="B18" s="3" t="s">
        <v>492</v>
      </c>
      <c r="C18" s="8">
        <v>10</v>
      </c>
      <c r="D18" s="3">
        <v>430</v>
      </c>
      <c r="E18" s="3"/>
      <c r="F18" s="3"/>
      <c r="I18" s="3"/>
      <c r="J18" s="3"/>
      <c r="K18" s="3"/>
      <c r="L18" s="3"/>
      <c r="M18" s="3"/>
      <c r="N18" s="3"/>
      <c r="O18" s="3"/>
    </row>
    <row r="19" spans="1:15" ht="18.75" customHeight="1" x14ac:dyDescent="0.5">
      <c r="A19" s="3" t="s">
        <v>497</v>
      </c>
      <c r="B19" s="3" t="s">
        <v>493</v>
      </c>
      <c r="C19" s="8">
        <v>11</v>
      </c>
      <c r="D19" s="3">
        <v>430</v>
      </c>
      <c r="E19" s="3"/>
      <c r="F19" s="3"/>
      <c r="I19" s="3"/>
      <c r="J19" s="3"/>
      <c r="K19" s="3"/>
      <c r="L19" s="3"/>
      <c r="M19" s="3"/>
      <c r="N19" s="3"/>
      <c r="O19" s="3"/>
    </row>
    <row r="20" spans="1:15" ht="18.75" customHeight="1" x14ac:dyDescent="0.55000000000000004">
      <c r="A20" s="3" t="s">
        <v>497</v>
      </c>
      <c r="B20" s="3" t="s">
        <v>496</v>
      </c>
      <c r="C20" s="8">
        <v>12</v>
      </c>
      <c r="D20" s="3">
        <v>430</v>
      </c>
      <c r="E20" s="3"/>
      <c r="F20" s="3"/>
      <c r="G20" s="78" t="s">
        <v>489</v>
      </c>
      <c r="H20" s="79"/>
      <c r="I20" s="3"/>
      <c r="J20" s="3"/>
      <c r="K20" s="3"/>
      <c r="L20" s="3"/>
      <c r="M20" s="3"/>
      <c r="N20" s="3"/>
      <c r="O20" s="3"/>
    </row>
    <row r="21" spans="1:15" ht="18.75" customHeight="1" x14ac:dyDescent="0.5">
      <c r="A21" s="3" t="s">
        <v>499</v>
      </c>
      <c r="B21" s="3" t="s">
        <v>491</v>
      </c>
      <c r="C21" s="8">
        <v>9</v>
      </c>
      <c r="D21" s="3">
        <v>410</v>
      </c>
      <c r="E21" s="3"/>
      <c r="F21" s="3"/>
      <c r="G21" s="3" t="s">
        <v>490</v>
      </c>
      <c r="H21" s="3">
        <f>SUMIF($A$5:$A$36,"Arbor Creek",$D$5:$D$36)</f>
        <v>1164</v>
      </c>
      <c r="I21" s="3"/>
      <c r="J21" s="3"/>
      <c r="K21" s="3"/>
      <c r="L21" s="3"/>
      <c r="M21" s="3"/>
      <c r="N21" s="3"/>
      <c r="O21" s="3"/>
    </row>
    <row r="22" spans="1:15" ht="18.75" customHeight="1" x14ac:dyDescent="0.5">
      <c r="A22" s="3" t="s">
        <v>499</v>
      </c>
      <c r="B22" s="3" t="s">
        <v>492</v>
      </c>
      <c r="C22" s="8">
        <v>10</v>
      </c>
      <c r="D22" s="3">
        <v>408</v>
      </c>
      <c r="E22" s="3"/>
      <c r="F22" s="3"/>
      <c r="G22" s="3" t="s">
        <v>494</v>
      </c>
      <c r="H22" s="3">
        <f>SUMIF($A$5:$A$36,"Colony",$D$5:$D$36)</f>
        <v>1201</v>
      </c>
      <c r="I22" s="3"/>
      <c r="J22" s="3"/>
      <c r="K22" s="3"/>
      <c r="L22" s="3"/>
      <c r="M22" s="3"/>
      <c r="N22" s="3"/>
      <c r="O22" s="3"/>
    </row>
    <row r="23" spans="1:15" ht="18.75" customHeight="1" x14ac:dyDescent="0.5">
      <c r="A23" s="3" t="s">
        <v>499</v>
      </c>
      <c r="B23" s="3" t="s">
        <v>493</v>
      </c>
      <c r="C23" s="8">
        <v>11</v>
      </c>
      <c r="D23" s="3">
        <v>408</v>
      </c>
      <c r="E23" s="3"/>
      <c r="F23" s="3"/>
      <c r="G23" s="3" t="s">
        <v>495</v>
      </c>
      <c r="H23" s="3">
        <f>SUMIF($A$5:$A$36,"DeLay",$D$5:$D$36)</f>
        <v>728</v>
      </c>
      <c r="I23" s="3"/>
      <c r="J23" s="3"/>
      <c r="K23" s="3"/>
      <c r="L23" s="3"/>
      <c r="M23" s="3"/>
      <c r="N23" s="3"/>
      <c r="O23" s="3"/>
    </row>
    <row r="24" spans="1:15" ht="18.75" customHeight="1" x14ac:dyDescent="0.5">
      <c r="A24" s="3" t="s">
        <v>499</v>
      </c>
      <c r="B24" s="3" t="s">
        <v>496</v>
      </c>
      <c r="C24" s="8">
        <v>12</v>
      </c>
      <c r="D24" s="3">
        <v>408</v>
      </c>
      <c r="E24" s="3"/>
      <c r="F24" s="3"/>
      <c r="G24" s="3" t="s">
        <v>497</v>
      </c>
      <c r="H24" s="3">
        <f>SUMIF($A$5:$A$36,"Flower Mound",$D$5:$D$36)</f>
        <v>1718</v>
      </c>
      <c r="I24" s="3"/>
      <c r="J24" s="3"/>
      <c r="K24" s="3"/>
      <c r="L24" s="3"/>
      <c r="M24" s="3"/>
      <c r="N24" s="3"/>
      <c r="O24" s="3"/>
    </row>
    <row r="25" spans="1:15" ht="18.75" customHeight="1" x14ac:dyDescent="0.5">
      <c r="A25" s="3" t="s">
        <v>500</v>
      </c>
      <c r="B25" s="3" t="s">
        <v>491</v>
      </c>
      <c r="C25" s="8">
        <v>9</v>
      </c>
      <c r="D25" s="3">
        <v>312</v>
      </c>
      <c r="E25" s="3"/>
      <c r="F25" s="3"/>
      <c r="G25" s="3" t="s">
        <v>499</v>
      </c>
      <c r="H25" s="3">
        <f>SUMIF($A$5:$A$36,"Hebron",$D$5:$D$36)</f>
        <v>1634</v>
      </c>
      <c r="I25" s="3"/>
      <c r="J25" s="3"/>
      <c r="K25" s="3"/>
      <c r="L25" s="3"/>
      <c r="M25" s="3"/>
      <c r="N25" s="3"/>
      <c r="O25" s="3"/>
    </row>
    <row r="26" spans="1:15" ht="18.75" customHeight="1" x14ac:dyDescent="0.5">
      <c r="A26" s="3" t="s">
        <v>500</v>
      </c>
      <c r="B26" s="3" t="s">
        <v>492</v>
      </c>
      <c r="C26" s="8">
        <v>10</v>
      </c>
      <c r="D26" s="3">
        <v>314</v>
      </c>
      <c r="E26" s="3"/>
      <c r="F26" s="3"/>
      <c r="G26" s="3" t="s">
        <v>500</v>
      </c>
      <c r="H26" s="3">
        <f>SUMIF($A$5:$A$36,"Indian Creek",$D$5:$D$36)</f>
        <v>1254</v>
      </c>
      <c r="I26" s="3"/>
      <c r="J26" s="3"/>
      <c r="K26" s="3"/>
      <c r="L26" s="3"/>
      <c r="M26" s="3"/>
      <c r="N26" s="3"/>
      <c r="O26" s="3"/>
    </row>
    <row r="27" spans="1:15" ht="18.75" customHeight="1" x14ac:dyDescent="0.5">
      <c r="A27" s="3" t="s">
        <v>500</v>
      </c>
      <c r="B27" s="3" t="s">
        <v>493</v>
      </c>
      <c r="C27" s="8">
        <v>11</v>
      </c>
      <c r="D27" s="3">
        <v>314</v>
      </c>
      <c r="E27" s="3"/>
      <c r="F27" s="3"/>
      <c r="G27" s="3" t="s">
        <v>501</v>
      </c>
      <c r="H27" s="3">
        <f>SUMIF($A$5:$A$36,"Lewisville",$D$5:$D$36)</f>
        <v>2010</v>
      </c>
      <c r="I27" s="3"/>
      <c r="J27" s="3"/>
      <c r="K27" s="3"/>
      <c r="L27" s="3"/>
      <c r="M27" s="3"/>
      <c r="N27" s="3"/>
      <c r="O27" s="3"/>
    </row>
    <row r="28" spans="1:15" ht="18.75" customHeight="1" x14ac:dyDescent="0.5">
      <c r="A28" s="3" t="s">
        <v>500</v>
      </c>
      <c r="B28" s="3" t="s">
        <v>496</v>
      </c>
      <c r="C28" s="8">
        <v>12</v>
      </c>
      <c r="D28" s="3">
        <v>314</v>
      </c>
      <c r="E28" s="3"/>
      <c r="F28" s="3"/>
      <c r="G28" s="3" t="s">
        <v>502</v>
      </c>
      <c r="H28" s="3">
        <f>SUMIF($A$5:$A$36,"Marcus",$D$5:$D$36)</f>
        <v>1562</v>
      </c>
      <c r="I28" s="3"/>
      <c r="J28" s="3"/>
      <c r="K28" s="3"/>
      <c r="L28" s="3"/>
      <c r="M28" s="3"/>
      <c r="N28" s="3"/>
      <c r="O28" s="3"/>
    </row>
    <row r="29" spans="1:15" ht="18.75" customHeight="1" x14ac:dyDescent="0.5">
      <c r="A29" s="3" t="s">
        <v>501</v>
      </c>
      <c r="B29" s="3" t="s">
        <v>491</v>
      </c>
      <c r="C29" s="8">
        <v>9</v>
      </c>
      <c r="D29" s="3">
        <v>504</v>
      </c>
      <c r="E29" s="3"/>
      <c r="F29" s="3"/>
      <c r="G29" s="4" t="s">
        <v>498</v>
      </c>
      <c r="H29" s="4">
        <f>SUM(H21:H28)</f>
        <v>11271</v>
      </c>
      <c r="I29" s="3"/>
      <c r="J29" s="3"/>
      <c r="K29" s="3"/>
      <c r="L29" s="3"/>
      <c r="M29" s="3"/>
      <c r="N29" s="3"/>
      <c r="O29" s="3"/>
    </row>
    <row r="30" spans="1:15" ht="18.75" customHeight="1" x14ac:dyDescent="0.5">
      <c r="A30" s="3" t="s">
        <v>501</v>
      </c>
      <c r="B30" s="3" t="s">
        <v>492</v>
      </c>
      <c r="C30" s="8">
        <v>10</v>
      </c>
      <c r="D30" s="3">
        <v>502</v>
      </c>
      <c r="E30" s="3"/>
      <c r="F30" s="3"/>
      <c r="G30" s="3"/>
      <c r="H30" s="3"/>
      <c r="I30" s="3"/>
      <c r="J30" s="3"/>
      <c r="K30" s="3"/>
      <c r="L30" s="3"/>
      <c r="M30" s="3"/>
      <c r="N30" s="3"/>
      <c r="O30" s="3"/>
    </row>
    <row r="31" spans="1:15" ht="18.75" customHeight="1" x14ac:dyDescent="0.5">
      <c r="A31" s="3" t="s">
        <v>501</v>
      </c>
      <c r="B31" s="3" t="s">
        <v>493</v>
      </c>
      <c r="C31" s="8">
        <v>11</v>
      </c>
      <c r="D31" s="3">
        <v>502</v>
      </c>
      <c r="E31" s="3"/>
      <c r="F31" s="3"/>
      <c r="G31" s="3"/>
      <c r="H31" s="3"/>
      <c r="I31" s="3"/>
      <c r="J31" s="3"/>
      <c r="K31" s="3"/>
      <c r="L31" s="3"/>
      <c r="M31" s="3"/>
      <c r="N31" s="3"/>
      <c r="O31" s="3"/>
    </row>
    <row r="32" spans="1:15" ht="18.75" customHeight="1" x14ac:dyDescent="0.5">
      <c r="A32" s="3" t="s">
        <v>501</v>
      </c>
      <c r="B32" s="3" t="s">
        <v>496</v>
      </c>
      <c r="C32" s="8">
        <v>12</v>
      </c>
      <c r="D32" s="3">
        <v>502</v>
      </c>
      <c r="E32" s="3"/>
      <c r="F32" s="3"/>
      <c r="G32" s="3"/>
      <c r="H32" s="3"/>
      <c r="I32" s="3"/>
      <c r="J32" s="3"/>
      <c r="K32" s="3"/>
      <c r="L32" s="3"/>
      <c r="M32" s="3"/>
      <c r="N32" s="3"/>
      <c r="O32" s="3"/>
    </row>
    <row r="33" spans="1:15" ht="18.75" customHeight="1" x14ac:dyDescent="0.5">
      <c r="A33" s="3" t="s">
        <v>502</v>
      </c>
      <c r="B33" s="3" t="s">
        <v>491</v>
      </c>
      <c r="C33" s="8">
        <v>9</v>
      </c>
      <c r="D33" s="3">
        <v>389</v>
      </c>
      <c r="E33" s="3"/>
      <c r="F33" s="3"/>
      <c r="G33" s="3"/>
      <c r="H33" s="3"/>
      <c r="I33" s="3"/>
      <c r="J33" s="3"/>
      <c r="K33" s="3"/>
      <c r="L33" s="3"/>
      <c r="M33" s="3"/>
      <c r="N33" s="3"/>
      <c r="O33" s="3"/>
    </row>
    <row r="34" spans="1:15" ht="18.75" customHeight="1" x14ac:dyDescent="0.5">
      <c r="A34" s="3" t="s">
        <v>502</v>
      </c>
      <c r="B34" s="3" t="s">
        <v>492</v>
      </c>
      <c r="C34" s="8">
        <v>10</v>
      </c>
      <c r="D34" s="3">
        <v>391</v>
      </c>
      <c r="E34" s="3"/>
      <c r="F34" s="3"/>
      <c r="G34" s="3"/>
      <c r="H34" s="3"/>
      <c r="I34" s="3"/>
      <c r="J34" s="3"/>
      <c r="K34" s="3"/>
      <c r="L34" s="3"/>
      <c r="M34" s="3"/>
      <c r="N34" s="3"/>
      <c r="O34" s="3"/>
    </row>
    <row r="35" spans="1:15" ht="18.75" customHeight="1" x14ac:dyDescent="0.5">
      <c r="A35" s="3" t="s">
        <v>502</v>
      </c>
      <c r="B35" s="3" t="s">
        <v>493</v>
      </c>
      <c r="C35" s="8">
        <v>11</v>
      </c>
      <c r="D35" s="3">
        <v>391</v>
      </c>
      <c r="E35" s="3"/>
      <c r="F35" s="3"/>
      <c r="G35" s="3"/>
      <c r="H35" s="3"/>
      <c r="I35" s="3"/>
      <c r="J35" s="3"/>
      <c r="K35" s="3"/>
      <c r="L35" s="3"/>
      <c r="M35" s="3"/>
      <c r="N35" s="3"/>
      <c r="O35" s="3"/>
    </row>
    <row r="36" spans="1:15" ht="18.75" customHeight="1" x14ac:dyDescent="0.5">
      <c r="A36" s="3" t="s">
        <v>502</v>
      </c>
      <c r="B36" s="3" t="s">
        <v>496</v>
      </c>
      <c r="C36" s="8">
        <v>12</v>
      </c>
      <c r="D36" s="3">
        <v>391</v>
      </c>
      <c r="E36" s="3"/>
      <c r="F36" s="3"/>
      <c r="G36" s="3"/>
      <c r="H36" s="3"/>
      <c r="I36" s="3"/>
      <c r="J36" s="3"/>
      <c r="K36" s="3"/>
      <c r="L36" s="3"/>
      <c r="M36" s="3"/>
      <c r="N36" s="3"/>
      <c r="O36" s="3"/>
    </row>
    <row r="37" spans="1:15" ht="18.75" customHeight="1" x14ac:dyDescent="0.5">
      <c r="A37" s="3"/>
      <c r="B37" s="3"/>
      <c r="C37" s="8"/>
      <c r="D37" s="3"/>
      <c r="E37" s="3"/>
      <c r="F37" s="3"/>
      <c r="G37" s="3"/>
      <c r="H37" s="3"/>
      <c r="I37" s="3"/>
      <c r="J37" s="3"/>
      <c r="K37" s="3"/>
      <c r="L37" s="3"/>
      <c r="M37" s="3"/>
      <c r="N37" s="3"/>
      <c r="O37" s="3"/>
    </row>
    <row r="38" spans="1:15" ht="18.75" customHeight="1" x14ac:dyDescent="0.5">
      <c r="A38" s="3"/>
      <c r="B38" s="3"/>
      <c r="C38" s="8"/>
      <c r="D38" s="3"/>
      <c r="E38" s="3"/>
      <c r="F38" s="3"/>
      <c r="G38" s="3"/>
      <c r="H38" s="3"/>
      <c r="I38" s="3"/>
      <c r="J38" s="3"/>
      <c r="K38" s="3"/>
      <c r="L38" s="3"/>
      <c r="M38" s="3"/>
      <c r="N38" s="3"/>
      <c r="O38" s="3"/>
    </row>
    <row r="39" spans="1:15" ht="18.75" customHeight="1" x14ac:dyDescent="0.5">
      <c r="A39" s="3"/>
      <c r="B39" s="3"/>
      <c r="C39" s="8"/>
      <c r="D39" s="3"/>
      <c r="E39" s="3"/>
      <c r="F39" s="3"/>
      <c r="G39" s="3"/>
      <c r="H39" s="3"/>
      <c r="I39" s="3"/>
      <c r="J39" s="3"/>
      <c r="K39" s="3"/>
      <c r="L39" s="3"/>
      <c r="M39" s="3"/>
      <c r="N39" s="3"/>
      <c r="O39" s="3"/>
    </row>
    <row r="40" spans="1:15" ht="18.75" customHeight="1" x14ac:dyDescent="0.5">
      <c r="A40" s="3"/>
      <c r="B40" s="3"/>
      <c r="C40" s="8"/>
      <c r="D40" s="3"/>
      <c r="E40" s="3"/>
      <c r="F40" s="3"/>
      <c r="G40" s="3"/>
      <c r="H40" s="3"/>
      <c r="I40" s="3"/>
      <c r="J40" s="3"/>
      <c r="K40" s="3"/>
      <c r="L40" s="3"/>
      <c r="M40" s="3"/>
      <c r="N40" s="3"/>
      <c r="O40" s="3"/>
    </row>
    <row r="41" spans="1:15" ht="18.75" customHeight="1" x14ac:dyDescent="0.5">
      <c r="A41" s="3"/>
      <c r="B41" s="3"/>
      <c r="C41" s="8"/>
      <c r="D41" s="3"/>
      <c r="E41" s="3"/>
      <c r="F41" s="3"/>
      <c r="G41" s="3"/>
      <c r="H41" s="3"/>
      <c r="I41" s="3"/>
      <c r="J41" s="3"/>
      <c r="K41" s="3"/>
      <c r="L41" s="3"/>
      <c r="M41" s="3"/>
      <c r="N41" s="3"/>
      <c r="O41" s="3"/>
    </row>
    <row r="42" spans="1:15" ht="18.75" customHeight="1" x14ac:dyDescent="0.5">
      <c r="A42" s="3"/>
      <c r="B42" s="3"/>
      <c r="C42" s="8"/>
      <c r="D42" s="3"/>
      <c r="E42" s="3"/>
      <c r="F42" s="3"/>
      <c r="G42" s="3"/>
      <c r="H42" s="3"/>
      <c r="I42" s="3"/>
      <c r="J42" s="3"/>
      <c r="K42" s="3"/>
      <c r="L42" s="3"/>
      <c r="M42" s="3"/>
      <c r="N42" s="3"/>
      <c r="O42" s="3"/>
    </row>
    <row r="43" spans="1:15" ht="18.75" customHeight="1" x14ac:dyDescent="0.5">
      <c r="A43" s="3"/>
      <c r="B43" s="3"/>
      <c r="C43" s="8"/>
      <c r="D43" s="3"/>
      <c r="E43" s="3"/>
      <c r="F43" s="3"/>
      <c r="G43" s="3"/>
      <c r="H43" s="3"/>
      <c r="I43" s="3"/>
      <c r="J43" s="3"/>
      <c r="K43" s="3"/>
      <c r="L43" s="3"/>
      <c r="M43" s="3"/>
      <c r="N43" s="3"/>
      <c r="O43" s="3"/>
    </row>
    <row r="44" spans="1:15" ht="18.75" customHeight="1" x14ac:dyDescent="0.5">
      <c r="A44" s="3"/>
      <c r="B44" s="3"/>
      <c r="C44" s="8"/>
      <c r="D44" s="3"/>
      <c r="E44" s="3"/>
      <c r="F44" s="3"/>
      <c r="G44" s="3"/>
      <c r="H44" s="3"/>
      <c r="I44" s="3"/>
      <c r="J44" s="3"/>
      <c r="K44" s="3"/>
      <c r="L44" s="3"/>
      <c r="M44" s="3"/>
      <c r="N44" s="3"/>
      <c r="O44" s="3"/>
    </row>
    <row r="45" spans="1:15" ht="18.75" customHeight="1" x14ac:dyDescent="0.5">
      <c r="A45" s="3"/>
      <c r="B45" s="3"/>
      <c r="C45" s="8"/>
      <c r="D45" s="3"/>
      <c r="E45" s="3"/>
      <c r="F45" s="3"/>
      <c r="G45" s="3"/>
      <c r="H45" s="3"/>
      <c r="I45" s="3"/>
      <c r="J45" s="3"/>
      <c r="K45" s="3"/>
      <c r="L45" s="3"/>
      <c r="M45" s="3"/>
      <c r="N45" s="3"/>
      <c r="O45" s="3"/>
    </row>
    <row r="46" spans="1:15" ht="18.75" customHeight="1" x14ac:dyDescent="0.5">
      <c r="A46" s="3"/>
      <c r="B46" s="3"/>
      <c r="C46" s="8"/>
      <c r="D46" s="3"/>
      <c r="E46" s="3"/>
      <c r="F46" s="3"/>
      <c r="G46" s="3"/>
      <c r="H46" s="3"/>
      <c r="I46" s="3"/>
      <c r="J46" s="3"/>
      <c r="K46" s="3"/>
      <c r="L46" s="3"/>
      <c r="M46" s="3"/>
      <c r="N46" s="3"/>
      <c r="O46" s="3"/>
    </row>
    <row r="47" spans="1:15" ht="18.75" customHeight="1" x14ac:dyDescent="0.5">
      <c r="A47" s="3"/>
      <c r="B47" s="3"/>
      <c r="C47" s="8"/>
      <c r="D47" s="3"/>
      <c r="E47" s="3"/>
      <c r="F47" s="3"/>
      <c r="G47" s="3"/>
      <c r="H47" s="3"/>
      <c r="I47" s="3"/>
      <c r="J47" s="3"/>
      <c r="K47" s="3"/>
      <c r="L47" s="3"/>
      <c r="M47" s="3"/>
      <c r="N47" s="3"/>
      <c r="O47" s="3"/>
    </row>
  </sheetData>
  <phoneticPr fontId="50" type="noConversion"/>
  <dataValidations count="2">
    <dataValidation type="list" allowBlank="1" showInputMessage="1" showErrorMessage="1" sqref="B5:B36" xr:uid="{00000000-0002-0000-1200-000000000000}">
      <formula1>$J$5:$J$8</formula1>
    </dataValidation>
    <dataValidation type="whole" allowBlank="1" showInputMessage="1" showErrorMessage="1" sqref="C5:C36" xr:uid="{00000000-0002-0000-1200-000001000000}">
      <formula1>9</formula1>
      <formula2>12</formula2>
    </dataValidation>
  </dataValidations>
  <pageMargins left="0.7" right="0.7" top="0.75" bottom="0.75" header="0.3" footer="0.3"/>
  <pageSetup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tabColor theme="4" tint="0.79998168889431442"/>
  </sheetPr>
  <dimension ref="A1:H17"/>
  <sheetViews>
    <sheetView workbookViewId="0">
      <selection activeCell="G25" sqref="G25"/>
    </sheetView>
  </sheetViews>
  <sheetFormatPr defaultRowHeight="14.25" x14ac:dyDescent="0.45"/>
  <cols>
    <col min="1" max="1" width="15.265625" customWidth="1"/>
    <col min="2" max="2" width="15.1328125" customWidth="1"/>
    <col min="3" max="3" width="19.59765625" customWidth="1"/>
    <col min="4" max="4" width="5.73046875" customWidth="1"/>
    <col min="5" max="5" width="62.265625" customWidth="1"/>
    <col min="6" max="6" width="12.86328125" style="38" customWidth="1"/>
    <col min="7" max="7" width="71.1328125" bestFit="1" customWidth="1"/>
    <col min="8" max="8" width="8.1328125" customWidth="1"/>
    <col min="257" max="257" width="15.265625" customWidth="1"/>
    <col min="258" max="258" width="15.1328125" customWidth="1"/>
    <col min="259" max="259" width="19.59765625" customWidth="1"/>
    <col min="260" max="260" width="2.73046875" customWidth="1"/>
    <col min="261" max="261" width="62.265625" customWidth="1"/>
    <col min="262" max="262" width="12.86328125" customWidth="1"/>
    <col min="263" max="263" width="71.1328125" bestFit="1" customWidth="1"/>
    <col min="264" max="264" width="8.1328125" customWidth="1"/>
    <col min="513" max="513" width="15.265625" customWidth="1"/>
    <col min="514" max="514" width="15.1328125" customWidth="1"/>
    <col min="515" max="515" width="19.59765625" customWidth="1"/>
    <col min="516" max="516" width="2.73046875" customWidth="1"/>
    <col min="517" max="517" width="62.265625" customWidth="1"/>
    <col min="518" max="518" width="12.86328125" customWidth="1"/>
    <col min="519" max="519" width="71.1328125" bestFit="1" customWidth="1"/>
    <col min="520" max="520" width="8.1328125" customWidth="1"/>
    <col min="769" max="769" width="15.265625" customWidth="1"/>
    <col min="770" max="770" width="15.1328125" customWidth="1"/>
    <col min="771" max="771" width="19.59765625" customWidth="1"/>
    <col min="772" max="772" width="2.73046875" customWidth="1"/>
    <col min="773" max="773" width="62.265625" customWidth="1"/>
    <col min="774" max="774" width="12.86328125" customWidth="1"/>
    <col min="775" max="775" width="71.1328125" bestFit="1" customWidth="1"/>
    <col min="776" max="776" width="8.1328125" customWidth="1"/>
    <col min="1025" max="1025" width="15.265625" customWidth="1"/>
    <col min="1026" max="1026" width="15.1328125" customWidth="1"/>
    <col min="1027" max="1027" width="19.59765625" customWidth="1"/>
    <col min="1028" max="1028" width="2.73046875" customWidth="1"/>
    <col min="1029" max="1029" width="62.265625" customWidth="1"/>
    <col min="1030" max="1030" width="12.86328125" customWidth="1"/>
    <col min="1031" max="1031" width="71.1328125" bestFit="1" customWidth="1"/>
    <col min="1032" max="1032" width="8.1328125" customWidth="1"/>
    <col min="1281" max="1281" width="15.265625" customWidth="1"/>
    <col min="1282" max="1282" width="15.1328125" customWidth="1"/>
    <col min="1283" max="1283" width="19.59765625" customWidth="1"/>
    <col min="1284" max="1284" width="2.73046875" customWidth="1"/>
    <col min="1285" max="1285" width="62.265625" customWidth="1"/>
    <col min="1286" max="1286" width="12.86328125" customWidth="1"/>
    <col min="1287" max="1287" width="71.1328125" bestFit="1" customWidth="1"/>
    <col min="1288" max="1288" width="8.1328125" customWidth="1"/>
    <col min="1537" max="1537" width="15.265625" customWidth="1"/>
    <col min="1538" max="1538" width="15.1328125" customWidth="1"/>
    <col min="1539" max="1539" width="19.59765625" customWidth="1"/>
    <col min="1540" max="1540" width="2.73046875" customWidth="1"/>
    <col min="1541" max="1541" width="62.265625" customWidth="1"/>
    <col min="1542" max="1542" width="12.86328125" customWidth="1"/>
    <col min="1543" max="1543" width="71.1328125" bestFit="1" customWidth="1"/>
    <col min="1544" max="1544" width="8.1328125" customWidth="1"/>
    <col min="1793" max="1793" width="15.265625" customWidth="1"/>
    <col min="1794" max="1794" width="15.1328125" customWidth="1"/>
    <col min="1795" max="1795" width="19.59765625" customWidth="1"/>
    <col min="1796" max="1796" width="2.73046875" customWidth="1"/>
    <col min="1797" max="1797" width="62.265625" customWidth="1"/>
    <col min="1798" max="1798" width="12.86328125" customWidth="1"/>
    <col min="1799" max="1799" width="71.1328125" bestFit="1" customWidth="1"/>
    <col min="1800" max="1800" width="8.1328125" customWidth="1"/>
    <col min="2049" max="2049" width="15.265625" customWidth="1"/>
    <col min="2050" max="2050" width="15.1328125" customWidth="1"/>
    <col min="2051" max="2051" width="19.59765625" customWidth="1"/>
    <col min="2052" max="2052" width="2.73046875" customWidth="1"/>
    <col min="2053" max="2053" width="62.265625" customWidth="1"/>
    <col min="2054" max="2054" width="12.86328125" customWidth="1"/>
    <col min="2055" max="2055" width="71.1328125" bestFit="1" customWidth="1"/>
    <col min="2056" max="2056" width="8.1328125" customWidth="1"/>
    <col min="2305" max="2305" width="15.265625" customWidth="1"/>
    <col min="2306" max="2306" width="15.1328125" customWidth="1"/>
    <col min="2307" max="2307" width="19.59765625" customWidth="1"/>
    <col min="2308" max="2308" width="2.73046875" customWidth="1"/>
    <col min="2309" max="2309" width="62.265625" customWidth="1"/>
    <col min="2310" max="2310" width="12.86328125" customWidth="1"/>
    <col min="2311" max="2311" width="71.1328125" bestFit="1" customWidth="1"/>
    <col min="2312" max="2312" width="8.1328125" customWidth="1"/>
    <col min="2561" max="2561" width="15.265625" customWidth="1"/>
    <col min="2562" max="2562" width="15.1328125" customWidth="1"/>
    <col min="2563" max="2563" width="19.59765625" customWidth="1"/>
    <col min="2564" max="2564" width="2.73046875" customWidth="1"/>
    <col min="2565" max="2565" width="62.265625" customWidth="1"/>
    <col min="2566" max="2566" width="12.86328125" customWidth="1"/>
    <col min="2567" max="2567" width="71.1328125" bestFit="1" customWidth="1"/>
    <col min="2568" max="2568" width="8.1328125" customWidth="1"/>
    <col min="2817" max="2817" width="15.265625" customWidth="1"/>
    <col min="2818" max="2818" width="15.1328125" customWidth="1"/>
    <col min="2819" max="2819" width="19.59765625" customWidth="1"/>
    <col min="2820" max="2820" width="2.73046875" customWidth="1"/>
    <col min="2821" max="2821" width="62.265625" customWidth="1"/>
    <col min="2822" max="2822" width="12.86328125" customWidth="1"/>
    <col min="2823" max="2823" width="71.1328125" bestFit="1" customWidth="1"/>
    <col min="2824" max="2824" width="8.1328125" customWidth="1"/>
    <col min="3073" max="3073" width="15.265625" customWidth="1"/>
    <col min="3074" max="3074" width="15.1328125" customWidth="1"/>
    <col min="3075" max="3075" width="19.59765625" customWidth="1"/>
    <col min="3076" max="3076" width="2.73046875" customWidth="1"/>
    <col min="3077" max="3077" width="62.265625" customWidth="1"/>
    <col min="3078" max="3078" width="12.86328125" customWidth="1"/>
    <col min="3079" max="3079" width="71.1328125" bestFit="1" customWidth="1"/>
    <col min="3080" max="3080" width="8.1328125" customWidth="1"/>
    <col min="3329" max="3329" width="15.265625" customWidth="1"/>
    <col min="3330" max="3330" width="15.1328125" customWidth="1"/>
    <col min="3331" max="3331" width="19.59765625" customWidth="1"/>
    <col min="3332" max="3332" width="2.73046875" customWidth="1"/>
    <col min="3333" max="3333" width="62.265625" customWidth="1"/>
    <col min="3334" max="3334" width="12.86328125" customWidth="1"/>
    <col min="3335" max="3335" width="71.1328125" bestFit="1" customWidth="1"/>
    <col min="3336" max="3336" width="8.1328125" customWidth="1"/>
    <col min="3585" max="3585" width="15.265625" customWidth="1"/>
    <col min="3586" max="3586" width="15.1328125" customWidth="1"/>
    <col min="3587" max="3587" width="19.59765625" customWidth="1"/>
    <col min="3588" max="3588" width="2.73046875" customWidth="1"/>
    <col min="3589" max="3589" width="62.265625" customWidth="1"/>
    <col min="3590" max="3590" width="12.86328125" customWidth="1"/>
    <col min="3591" max="3591" width="71.1328125" bestFit="1" customWidth="1"/>
    <col min="3592" max="3592" width="8.1328125" customWidth="1"/>
    <col min="3841" max="3841" width="15.265625" customWidth="1"/>
    <col min="3842" max="3842" width="15.1328125" customWidth="1"/>
    <col min="3843" max="3843" width="19.59765625" customWidth="1"/>
    <col min="3844" max="3844" width="2.73046875" customWidth="1"/>
    <col min="3845" max="3845" width="62.265625" customWidth="1"/>
    <col min="3846" max="3846" width="12.86328125" customWidth="1"/>
    <col min="3847" max="3847" width="71.1328125" bestFit="1" customWidth="1"/>
    <col min="3848" max="3848" width="8.1328125" customWidth="1"/>
    <col min="4097" max="4097" width="15.265625" customWidth="1"/>
    <col min="4098" max="4098" width="15.1328125" customWidth="1"/>
    <col min="4099" max="4099" width="19.59765625" customWidth="1"/>
    <col min="4100" max="4100" width="2.73046875" customWidth="1"/>
    <col min="4101" max="4101" width="62.265625" customWidth="1"/>
    <col min="4102" max="4102" width="12.86328125" customWidth="1"/>
    <col min="4103" max="4103" width="71.1328125" bestFit="1" customWidth="1"/>
    <col min="4104" max="4104" width="8.1328125" customWidth="1"/>
    <col min="4353" max="4353" width="15.265625" customWidth="1"/>
    <col min="4354" max="4354" width="15.1328125" customWidth="1"/>
    <col min="4355" max="4355" width="19.59765625" customWidth="1"/>
    <col min="4356" max="4356" width="2.73046875" customWidth="1"/>
    <col min="4357" max="4357" width="62.265625" customWidth="1"/>
    <col min="4358" max="4358" width="12.86328125" customWidth="1"/>
    <col min="4359" max="4359" width="71.1328125" bestFit="1" customWidth="1"/>
    <col min="4360" max="4360" width="8.1328125" customWidth="1"/>
    <col min="4609" max="4609" width="15.265625" customWidth="1"/>
    <col min="4610" max="4610" width="15.1328125" customWidth="1"/>
    <col min="4611" max="4611" width="19.59765625" customWidth="1"/>
    <col min="4612" max="4612" width="2.73046875" customWidth="1"/>
    <col min="4613" max="4613" width="62.265625" customWidth="1"/>
    <col min="4614" max="4614" width="12.86328125" customWidth="1"/>
    <col min="4615" max="4615" width="71.1328125" bestFit="1" customWidth="1"/>
    <col min="4616" max="4616" width="8.1328125" customWidth="1"/>
    <col min="4865" max="4865" width="15.265625" customWidth="1"/>
    <col min="4866" max="4866" width="15.1328125" customWidth="1"/>
    <col min="4867" max="4867" width="19.59765625" customWidth="1"/>
    <col min="4868" max="4868" width="2.73046875" customWidth="1"/>
    <col min="4869" max="4869" width="62.265625" customWidth="1"/>
    <col min="4870" max="4870" width="12.86328125" customWidth="1"/>
    <col min="4871" max="4871" width="71.1328125" bestFit="1" customWidth="1"/>
    <col min="4872" max="4872" width="8.1328125" customWidth="1"/>
    <col min="5121" max="5121" width="15.265625" customWidth="1"/>
    <col min="5122" max="5122" width="15.1328125" customWidth="1"/>
    <col min="5123" max="5123" width="19.59765625" customWidth="1"/>
    <col min="5124" max="5124" width="2.73046875" customWidth="1"/>
    <col min="5125" max="5125" width="62.265625" customWidth="1"/>
    <col min="5126" max="5126" width="12.86328125" customWidth="1"/>
    <col min="5127" max="5127" width="71.1328125" bestFit="1" customWidth="1"/>
    <col min="5128" max="5128" width="8.1328125" customWidth="1"/>
    <col min="5377" max="5377" width="15.265625" customWidth="1"/>
    <col min="5378" max="5378" width="15.1328125" customWidth="1"/>
    <col min="5379" max="5379" width="19.59765625" customWidth="1"/>
    <col min="5380" max="5380" width="2.73046875" customWidth="1"/>
    <col min="5381" max="5381" width="62.265625" customWidth="1"/>
    <col min="5382" max="5382" width="12.86328125" customWidth="1"/>
    <col min="5383" max="5383" width="71.1328125" bestFit="1" customWidth="1"/>
    <col min="5384" max="5384" width="8.1328125" customWidth="1"/>
    <col min="5633" max="5633" width="15.265625" customWidth="1"/>
    <col min="5634" max="5634" width="15.1328125" customWidth="1"/>
    <col min="5635" max="5635" width="19.59765625" customWidth="1"/>
    <col min="5636" max="5636" width="2.73046875" customWidth="1"/>
    <col min="5637" max="5637" width="62.265625" customWidth="1"/>
    <col min="5638" max="5638" width="12.86328125" customWidth="1"/>
    <col min="5639" max="5639" width="71.1328125" bestFit="1" customWidth="1"/>
    <col min="5640" max="5640" width="8.1328125" customWidth="1"/>
    <col min="5889" max="5889" width="15.265625" customWidth="1"/>
    <col min="5890" max="5890" width="15.1328125" customWidth="1"/>
    <col min="5891" max="5891" width="19.59765625" customWidth="1"/>
    <col min="5892" max="5892" width="2.73046875" customWidth="1"/>
    <col min="5893" max="5893" width="62.265625" customWidth="1"/>
    <col min="5894" max="5894" width="12.86328125" customWidth="1"/>
    <col min="5895" max="5895" width="71.1328125" bestFit="1" customWidth="1"/>
    <col min="5896" max="5896" width="8.1328125" customWidth="1"/>
    <col min="6145" max="6145" width="15.265625" customWidth="1"/>
    <col min="6146" max="6146" width="15.1328125" customWidth="1"/>
    <col min="6147" max="6147" width="19.59765625" customWidth="1"/>
    <col min="6148" max="6148" width="2.73046875" customWidth="1"/>
    <col min="6149" max="6149" width="62.265625" customWidth="1"/>
    <col min="6150" max="6150" width="12.86328125" customWidth="1"/>
    <col min="6151" max="6151" width="71.1328125" bestFit="1" customWidth="1"/>
    <col min="6152" max="6152" width="8.1328125" customWidth="1"/>
    <col min="6401" max="6401" width="15.265625" customWidth="1"/>
    <col min="6402" max="6402" width="15.1328125" customWidth="1"/>
    <col min="6403" max="6403" width="19.59765625" customWidth="1"/>
    <col min="6404" max="6404" width="2.73046875" customWidth="1"/>
    <col min="6405" max="6405" width="62.265625" customWidth="1"/>
    <col min="6406" max="6406" width="12.86328125" customWidth="1"/>
    <col min="6407" max="6407" width="71.1328125" bestFit="1" customWidth="1"/>
    <col min="6408" max="6408" width="8.1328125" customWidth="1"/>
    <col min="6657" max="6657" width="15.265625" customWidth="1"/>
    <col min="6658" max="6658" width="15.1328125" customWidth="1"/>
    <col min="6659" max="6659" width="19.59765625" customWidth="1"/>
    <col min="6660" max="6660" width="2.73046875" customWidth="1"/>
    <col min="6661" max="6661" width="62.265625" customWidth="1"/>
    <col min="6662" max="6662" width="12.86328125" customWidth="1"/>
    <col min="6663" max="6663" width="71.1328125" bestFit="1" customWidth="1"/>
    <col min="6664" max="6664" width="8.1328125" customWidth="1"/>
    <col min="6913" max="6913" width="15.265625" customWidth="1"/>
    <col min="6914" max="6914" width="15.1328125" customWidth="1"/>
    <col min="6915" max="6915" width="19.59765625" customWidth="1"/>
    <col min="6916" max="6916" width="2.73046875" customWidth="1"/>
    <col min="6917" max="6917" width="62.265625" customWidth="1"/>
    <col min="6918" max="6918" width="12.86328125" customWidth="1"/>
    <col min="6919" max="6919" width="71.1328125" bestFit="1" customWidth="1"/>
    <col min="6920" max="6920" width="8.1328125" customWidth="1"/>
    <col min="7169" max="7169" width="15.265625" customWidth="1"/>
    <col min="7170" max="7170" width="15.1328125" customWidth="1"/>
    <col min="7171" max="7171" width="19.59765625" customWidth="1"/>
    <col min="7172" max="7172" width="2.73046875" customWidth="1"/>
    <col min="7173" max="7173" width="62.265625" customWidth="1"/>
    <col min="7174" max="7174" width="12.86328125" customWidth="1"/>
    <col min="7175" max="7175" width="71.1328125" bestFit="1" customWidth="1"/>
    <col min="7176" max="7176" width="8.1328125" customWidth="1"/>
    <col min="7425" max="7425" width="15.265625" customWidth="1"/>
    <col min="7426" max="7426" width="15.1328125" customWidth="1"/>
    <col min="7427" max="7427" width="19.59765625" customWidth="1"/>
    <col min="7428" max="7428" width="2.73046875" customWidth="1"/>
    <col min="7429" max="7429" width="62.265625" customWidth="1"/>
    <col min="7430" max="7430" width="12.86328125" customWidth="1"/>
    <col min="7431" max="7431" width="71.1328125" bestFit="1" customWidth="1"/>
    <col min="7432" max="7432" width="8.1328125" customWidth="1"/>
    <col min="7681" max="7681" width="15.265625" customWidth="1"/>
    <col min="7682" max="7682" width="15.1328125" customWidth="1"/>
    <col min="7683" max="7683" width="19.59765625" customWidth="1"/>
    <col min="7684" max="7684" width="2.73046875" customWidth="1"/>
    <col min="7685" max="7685" width="62.265625" customWidth="1"/>
    <col min="7686" max="7686" width="12.86328125" customWidth="1"/>
    <col min="7687" max="7687" width="71.1328125" bestFit="1" customWidth="1"/>
    <col min="7688" max="7688" width="8.1328125" customWidth="1"/>
    <col min="7937" max="7937" width="15.265625" customWidth="1"/>
    <col min="7938" max="7938" width="15.1328125" customWidth="1"/>
    <col min="7939" max="7939" width="19.59765625" customWidth="1"/>
    <col min="7940" max="7940" width="2.73046875" customWidth="1"/>
    <col min="7941" max="7941" width="62.265625" customWidth="1"/>
    <col min="7942" max="7942" width="12.86328125" customWidth="1"/>
    <col min="7943" max="7943" width="71.1328125" bestFit="1" customWidth="1"/>
    <col min="7944" max="7944" width="8.1328125" customWidth="1"/>
    <col min="8193" max="8193" width="15.265625" customWidth="1"/>
    <col min="8194" max="8194" width="15.1328125" customWidth="1"/>
    <col min="8195" max="8195" width="19.59765625" customWidth="1"/>
    <col min="8196" max="8196" width="2.73046875" customWidth="1"/>
    <col min="8197" max="8197" width="62.265625" customWidth="1"/>
    <col min="8198" max="8198" width="12.86328125" customWidth="1"/>
    <col min="8199" max="8199" width="71.1328125" bestFit="1" customWidth="1"/>
    <col min="8200" max="8200" width="8.1328125" customWidth="1"/>
    <col min="8449" max="8449" width="15.265625" customWidth="1"/>
    <col min="8450" max="8450" width="15.1328125" customWidth="1"/>
    <col min="8451" max="8451" width="19.59765625" customWidth="1"/>
    <col min="8452" max="8452" width="2.73046875" customWidth="1"/>
    <col min="8453" max="8453" width="62.265625" customWidth="1"/>
    <col min="8454" max="8454" width="12.86328125" customWidth="1"/>
    <col min="8455" max="8455" width="71.1328125" bestFit="1" customWidth="1"/>
    <col min="8456" max="8456" width="8.1328125" customWidth="1"/>
    <col min="8705" max="8705" width="15.265625" customWidth="1"/>
    <col min="8706" max="8706" width="15.1328125" customWidth="1"/>
    <col min="8707" max="8707" width="19.59765625" customWidth="1"/>
    <col min="8708" max="8708" width="2.73046875" customWidth="1"/>
    <col min="8709" max="8709" width="62.265625" customWidth="1"/>
    <col min="8710" max="8710" width="12.86328125" customWidth="1"/>
    <col min="8711" max="8711" width="71.1328125" bestFit="1" customWidth="1"/>
    <col min="8712" max="8712" width="8.1328125" customWidth="1"/>
    <col min="8961" max="8961" width="15.265625" customWidth="1"/>
    <col min="8962" max="8962" width="15.1328125" customWidth="1"/>
    <col min="8963" max="8963" width="19.59765625" customWidth="1"/>
    <col min="8964" max="8964" width="2.73046875" customWidth="1"/>
    <col min="8965" max="8965" width="62.265625" customWidth="1"/>
    <col min="8966" max="8966" width="12.86328125" customWidth="1"/>
    <col min="8967" max="8967" width="71.1328125" bestFit="1" customWidth="1"/>
    <col min="8968" max="8968" width="8.1328125" customWidth="1"/>
    <col min="9217" max="9217" width="15.265625" customWidth="1"/>
    <col min="9218" max="9218" width="15.1328125" customWidth="1"/>
    <col min="9219" max="9219" width="19.59765625" customWidth="1"/>
    <col min="9220" max="9220" width="2.73046875" customWidth="1"/>
    <col min="9221" max="9221" width="62.265625" customWidth="1"/>
    <col min="9222" max="9222" width="12.86328125" customWidth="1"/>
    <col min="9223" max="9223" width="71.1328125" bestFit="1" customWidth="1"/>
    <col min="9224" max="9224" width="8.1328125" customWidth="1"/>
    <col min="9473" max="9473" width="15.265625" customWidth="1"/>
    <col min="9474" max="9474" width="15.1328125" customWidth="1"/>
    <col min="9475" max="9475" width="19.59765625" customWidth="1"/>
    <col min="9476" max="9476" width="2.73046875" customWidth="1"/>
    <col min="9477" max="9477" width="62.265625" customWidth="1"/>
    <col min="9478" max="9478" width="12.86328125" customWidth="1"/>
    <col min="9479" max="9479" width="71.1328125" bestFit="1" customWidth="1"/>
    <col min="9480" max="9480" width="8.1328125" customWidth="1"/>
    <col min="9729" max="9729" width="15.265625" customWidth="1"/>
    <col min="9730" max="9730" width="15.1328125" customWidth="1"/>
    <col min="9731" max="9731" width="19.59765625" customWidth="1"/>
    <col min="9732" max="9732" width="2.73046875" customWidth="1"/>
    <col min="9733" max="9733" width="62.265625" customWidth="1"/>
    <col min="9734" max="9734" width="12.86328125" customWidth="1"/>
    <col min="9735" max="9735" width="71.1328125" bestFit="1" customWidth="1"/>
    <col min="9736" max="9736" width="8.1328125" customWidth="1"/>
    <col min="9985" max="9985" width="15.265625" customWidth="1"/>
    <col min="9986" max="9986" width="15.1328125" customWidth="1"/>
    <col min="9987" max="9987" width="19.59765625" customWidth="1"/>
    <col min="9988" max="9988" width="2.73046875" customWidth="1"/>
    <col min="9989" max="9989" width="62.265625" customWidth="1"/>
    <col min="9990" max="9990" width="12.86328125" customWidth="1"/>
    <col min="9991" max="9991" width="71.1328125" bestFit="1" customWidth="1"/>
    <col min="9992" max="9992" width="8.1328125" customWidth="1"/>
    <col min="10241" max="10241" width="15.265625" customWidth="1"/>
    <col min="10242" max="10242" width="15.1328125" customWidth="1"/>
    <col min="10243" max="10243" width="19.59765625" customWidth="1"/>
    <col min="10244" max="10244" width="2.73046875" customWidth="1"/>
    <col min="10245" max="10245" width="62.265625" customWidth="1"/>
    <col min="10246" max="10246" width="12.86328125" customWidth="1"/>
    <col min="10247" max="10247" width="71.1328125" bestFit="1" customWidth="1"/>
    <col min="10248" max="10248" width="8.1328125" customWidth="1"/>
    <col min="10497" max="10497" width="15.265625" customWidth="1"/>
    <col min="10498" max="10498" width="15.1328125" customWidth="1"/>
    <col min="10499" max="10499" width="19.59765625" customWidth="1"/>
    <col min="10500" max="10500" width="2.73046875" customWidth="1"/>
    <col min="10501" max="10501" width="62.265625" customWidth="1"/>
    <col min="10502" max="10502" width="12.86328125" customWidth="1"/>
    <col min="10503" max="10503" width="71.1328125" bestFit="1" customWidth="1"/>
    <col min="10504" max="10504" width="8.1328125" customWidth="1"/>
    <col min="10753" max="10753" width="15.265625" customWidth="1"/>
    <col min="10754" max="10754" width="15.1328125" customWidth="1"/>
    <col min="10755" max="10755" width="19.59765625" customWidth="1"/>
    <col min="10756" max="10756" width="2.73046875" customWidth="1"/>
    <col min="10757" max="10757" width="62.265625" customWidth="1"/>
    <col min="10758" max="10758" width="12.86328125" customWidth="1"/>
    <col min="10759" max="10759" width="71.1328125" bestFit="1" customWidth="1"/>
    <col min="10760" max="10760" width="8.1328125" customWidth="1"/>
    <col min="11009" max="11009" width="15.265625" customWidth="1"/>
    <col min="11010" max="11010" width="15.1328125" customWidth="1"/>
    <col min="11011" max="11011" width="19.59765625" customWidth="1"/>
    <col min="11012" max="11012" width="2.73046875" customWidth="1"/>
    <col min="11013" max="11013" width="62.265625" customWidth="1"/>
    <col min="11014" max="11014" width="12.86328125" customWidth="1"/>
    <col min="11015" max="11015" width="71.1328125" bestFit="1" customWidth="1"/>
    <col min="11016" max="11016" width="8.1328125" customWidth="1"/>
    <col min="11265" max="11265" width="15.265625" customWidth="1"/>
    <col min="11266" max="11266" width="15.1328125" customWidth="1"/>
    <col min="11267" max="11267" width="19.59765625" customWidth="1"/>
    <col min="11268" max="11268" width="2.73046875" customWidth="1"/>
    <col min="11269" max="11269" width="62.265625" customWidth="1"/>
    <col min="11270" max="11270" width="12.86328125" customWidth="1"/>
    <col min="11271" max="11271" width="71.1328125" bestFit="1" customWidth="1"/>
    <col min="11272" max="11272" width="8.1328125" customWidth="1"/>
    <col min="11521" max="11521" width="15.265625" customWidth="1"/>
    <col min="11522" max="11522" width="15.1328125" customWidth="1"/>
    <col min="11523" max="11523" width="19.59765625" customWidth="1"/>
    <col min="11524" max="11524" width="2.73046875" customWidth="1"/>
    <col min="11525" max="11525" width="62.265625" customWidth="1"/>
    <col min="11526" max="11526" width="12.86328125" customWidth="1"/>
    <col min="11527" max="11527" width="71.1328125" bestFit="1" customWidth="1"/>
    <col min="11528" max="11528" width="8.1328125" customWidth="1"/>
    <col min="11777" max="11777" width="15.265625" customWidth="1"/>
    <col min="11778" max="11778" width="15.1328125" customWidth="1"/>
    <col min="11779" max="11779" width="19.59765625" customWidth="1"/>
    <col min="11780" max="11780" width="2.73046875" customWidth="1"/>
    <col min="11781" max="11781" width="62.265625" customWidth="1"/>
    <col min="11782" max="11782" width="12.86328125" customWidth="1"/>
    <col min="11783" max="11783" width="71.1328125" bestFit="1" customWidth="1"/>
    <col min="11784" max="11784" width="8.1328125" customWidth="1"/>
    <col min="12033" max="12033" width="15.265625" customWidth="1"/>
    <col min="12034" max="12034" width="15.1328125" customWidth="1"/>
    <col min="12035" max="12035" width="19.59765625" customWidth="1"/>
    <col min="12036" max="12036" width="2.73046875" customWidth="1"/>
    <col min="12037" max="12037" width="62.265625" customWidth="1"/>
    <col min="12038" max="12038" width="12.86328125" customWidth="1"/>
    <col min="12039" max="12039" width="71.1328125" bestFit="1" customWidth="1"/>
    <col min="12040" max="12040" width="8.1328125" customWidth="1"/>
    <col min="12289" max="12289" width="15.265625" customWidth="1"/>
    <col min="12290" max="12290" width="15.1328125" customWidth="1"/>
    <col min="12291" max="12291" width="19.59765625" customWidth="1"/>
    <col min="12292" max="12292" width="2.73046875" customWidth="1"/>
    <col min="12293" max="12293" width="62.265625" customWidth="1"/>
    <col min="12294" max="12294" width="12.86328125" customWidth="1"/>
    <col min="12295" max="12295" width="71.1328125" bestFit="1" customWidth="1"/>
    <col min="12296" max="12296" width="8.1328125" customWidth="1"/>
    <col min="12545" max="12545" width="15.265625" customWidth="1"/>
    <col min="12546" max="12546" width="15.1328125" customWidth="1"/>
    <col min="12547" max="12547" width="19.59765625" customWidth="1"/>
    <col min="12548" max="12548" width="2.73046875" customWidth="1"/>
    <col min="12549" max="12549" width="62.265625" customWidth="1"/>
    <col min="12550" max="12550" width="12.86328125" customWidth="1"/>
    <col min="12551" max="12551" width="71.1328125" bestFit="1" customWidth="1"/>
    <col min="12552" max="12552" width="8.1328125" customWidth="1"/>
    <col min="12801" max="12801" width="15.265625" customWidth="1"/>
    <col min="12802" max="12802" width="15.1328125" customWidth="1"/>
    <col min="12803" max="12803" width="19.59765625" customWidth="1"/>
    <col min="12804" max="12804" width="2.73046875" customWidth="1"/>
    <col min="12805" max="12805" width="62.265625" customWidth="1"/>
    <col min="12806" max="12806" width="12.86328125" customWidth="1"/>
    <col min="12807" max="12807" width="71.1328125" bestFit="1" customWidth="1"/>
    <col min="12808" max="12808" width="8.1328125" customWidth="1"/>
    <col min="13057" max="13057" width="15.265625" customWidth="1"/>
    <col min="13058" max="13058" width="15.1328125" customWidth="1"/>
    <col min="13059" max="13059" width="19.59765625" customWidth="1"/>
    <col min="13060" max="13060" width="2.73046875" customWidth="1"/>
    <col min="13061" max="13061" width="62.265625" customWidth="1"/>
    <col min="13062" max="13062" width="12.86328125" customWidth="1"/>
    <col min="13063" max="13063" width="71.1328125" bestFit="1" customWidth="1"/>
    <col min="13064" max="13064" width="8.1328125" customWidth="1"/>
    <col min="13313" max="13313" width="15.265625" customWidth="1"/>
    <col min="13314" max="13314" width="15.1328125" customWidth="1"/>
    <col min="13315" max="13315" width="19.59765625" customWidth="1"/>
    <col min="13316" max="13316" width="2.73046875" customWidth="1"/>
    <col min="13317" max="13317" width="62.265625" customWidth="1"/>
    <col min="13318" max="13318" width="12.86328125" customWidth="1"/>
    <col min="13319" max="13319" width="71.1328125" bestFit="1" customWidth="1"/>
    <col min="13320" max="13320" width="8.1328125" customWidth="1"/>
    <col min="13569" max="13569" width="15.265625" customWidth="1"/>
    <col min="13570" max="13570" width="15.1328125" customWidth="1"/>
    <col min="13571" max="13571" width="19.59765625" customWidth="1"/>
    <col min="13572" max="13572" width="2.73046875" customWidth="1"/>
    <col min="13573" max="13573" width="62.265625" customWidth="1"/>
    <col min="13574" max="13574" width="12.86328125" customWidth="1"/>
    <col min="13575" max="13575" width="71.1328125" bestFit="1" customWidth="1"/>
    <col min="13576" max="13576" width="8.1328125" customWidth="1"/>
    <col min="13825" max="13825" width="15.265625" customWidth="1"/>
    <col min="13826" max="13826" width="15.1328125" customWidth="1"/>
    <col min="13827" max="13827" width="19.59765625" customWidth="1"/>
    <col min="13828" max="13828" width="2.73046875" customWidth="1"/>
    <col min="13829" max="13829" width="62.265625" customWidth="1"/>
    <col min="13830" max="13830" width="12.86328125" customWidth="1"/>
    <col min="13831" max="13831" width="71.1328125" bestFit="1" customWidth="1"/>
    <col min="13832" max="13832" width="8.1328125" customWidth="1"/>
    <col min="14081" max="14081" width="15.265625" customWidth="1"/>
    <col min="14082" max="14082" width="15.1328125" customWidth="1"/>
    <col min="14083" max="14083" width="19.59765625" customWidth="1"/>
    <col min="14084" max="14084" width="2.73046875" customWidth="1"/>
    <col min="14085" max="14085" width="62.265625" customWidth="1"/>
    <col min="14086" max="14086" width="12.86328125" customWidth="1"/>
    <col min="14087" max="14087" width="71.1328125" bestFit="1" customWidth="1"/>
    <col min="14088" max="14088" width="8.1328125" customWidth="1"/>
    <col min="14337" max="14337" width="15.265625" customWidth="1"/>
    <col min="14338" max="14338" width="15.1328125" customWidth="1"/>
    <col min="14339" max="14339" width="19.59765625" customWidth="1"/>
    <col min="14340" max="14340" width="2.73046875" customWidth="1"/>
    <col min="14341" max="14341" width="62.265625" customWidth="1"/>
    <col min="14342" max="14342" width="12.86328125" customWidth="1"/>
    <col min="14343" max="14343" width="71.1328125" bestFit="1" customWidth="1"/>
    <col min="14344" max="14344" width="8.1328125" customWidth="1"/>
    <col min="14593" max="14593" width="15.265625" customWidth="1"/>
    <col min="14594" max="14594" width="15.1328125" customWidth="1"/>
    <col min="14595" max="14595" width="19.59765625" customWidth="1"/>
    <col min="14596" max="14596" width="2.73046875" customWidth="1"/>
    <col min="14597" max="14597" width="62.265625" customWidth="1"/>
    <col min="14598" max="14598" width="12.86328125" customWidth="1"/>
    <col min="14599" max="14599" width="71.1328125" bestFit="1" customWidth="1"/>
    <col min="14600" max="14600" width="8.1328125" customWidth="1"/>
    <col min="14849" max="14849" width="15.265625" customWidth="1"/>
    <col min="14850" max="14850" width="15.1328125" customWidth="1"/>
    <col min="14851" max="14851" width="19.59765625" customWidth="1"/>
    <col min="14852" max="14852" width="2.73046875" customWidth="1"/>
    <col min="14853" max="14853" width="62.265625" customWidth="1"/>
    <col min="14854" max="14854" width="12.86328125" customWidth="1"/>
    <col min="14855" max="14855" width="71.1328125" bestFit="1" customWidth="1"/>
    <col min="14856" max="14856" width="8.1328125" customWidth="1"/>
    <col min="15105" max="15105" width="15.265625" customWidth="1"/>
    <col min="15106" max="15106" width="15.1328125" customWidth="1"/>
    <col min="15107" max="15107" width="19.59765625" customWidth="1"/>
    <col min="15108" max="15108" width="2.73046875" customWidth="1"/>
    <col min="15109" max="15109" width="62.265625" customWidth="1"/>
    <col min="15110" max="15110" width="12.86328125" customWidth="1"/>
    <col min="15111" max="15111" width="71.1328125" bestFit="1" customWidth="1"/>
    <col min="15112" max="15112" width="8.1328125" customWidth="1"/>
    <col min="15361" max="15361" width="15.265625" customWidth="1"/>
    <col min="15362" max="15362" width="15.1328125" customWidth="1"/>
    <col min="15363" max="15363" width="19.59765625" customWidth="1"/>
    <col min="15364" max="15364" width="2.73046875" customWidth="1"/>
    <col min="15365" max="15365" width="62.265625" customWidth="1"/>
    <col min="15366" max="15366" width="12.86328125" customWidth="1"/>
    <col min="15367" max="15367" width="71.1328125" bestFit="1" customWidth="1"/>
    <col min="15368" max="15368" width="8.1328125" customWidth="1"/>
    <col min="15617" max="15617" width="15.265625" customWidth="1"/>
    <col min="15618" max="15618" width="15.1328125" customWidth="1"/>
    <col min="15619" max="15619" width="19.59765625" customWidth="1"/>
    <col min="15620" max="15620" width="2.73046875" customWidth="1"/>
    <col min="15621" max="15621" width="62.265625" customWidth="1"/>
    <col min="15622" max="15622" width="12.86328125" customWidth="1"/>
    <col min="15623" max="15623" width="71.1328125" bestFit="1" customWidth="1"/>
    <col min="15624" max="15624" width="8.1328125" customWidth="1"/>
    <col min="15873" max="15873" width="15.265625" customWidth="1"/>
    <col min="15874" max="15874" width="15.1328125" customWidth="1"/>
    <col min="15875" max="15875" width="19.59765625" customWidth="1"/>
    <col min="15876" max="15876" width="2.73046875" customWidth="1"/>
    <col min="15877" max="15877" width="62.265625" customWidth="1"/>
    <col min="15878" max="15878" width="12.86328125" customWidth="1"/>
    <col min="15879" max="15879" width="71.1328125" bestFit="1" customWidth="1"/>
    <col min="15880" max="15880" width="8.1328125" customWidth="1"/>
    <col min="16129" max="16129" width="15.265625" customWidth="1"/>
    <col min="16130" max="16130" width="15.1328125" customWidth="1"/>
    <col min="16131" max="16131" width="19.59765625" customWidth="1"/>
    <col min="16132" max="16132" width="2.73046875" customWidth="1"/>
    <col min="16133" max="16133" width="62.265625" customWidth="1"/>
    <col min="16134" max="16134" width="12.86328125" customWidth="1"/>
    <col min="16135" max="16135" width="71.1328125" bestFit="1" customWidth="1"/>
    <col min="16136" max="16136" width="8.1328125" customWidth="1"/>
  </cols>
  <sheetData>
    <row r="1" spans="1:8" ht="23.25" x14ac:dyDescent="0.7">
      <c r="A1" s="67" t="s">
        <v>622</v>
      </c>
    </row>
    <row r="2" spans="1:8" ht="21" x14ac:dyDescent="0.65">
      <c r="A2" s="57"/>
    </row>
    <row r="3" spans="1:8" ht="14.65" thickBot="1" x14ac:dyDescent="0.5"/>
    <row r="4" spans="1:8" ht="18.399999999999999" thickBot="1" x14ac:dyDescent="0.6">
      <c r="A4" s="118" t="s">
        <v>506</v>
      </c>
      <c r="B4" s="118" t="s">
        <v>623</v>
      </c>
      <c r="C4" s="118" t="s">
        <v>511</v>
      </c>
      <c r="D4" s="101"/>
      <c r="E4" s="118" t="s">
        <v>624</v>
      </c>
      <c r="F4" s="118" t="s">
        <v>625</v>
      </c>
      <c r="G4" s="118" t="s">
        <v>626</v>
      </c>
      <c r="H4" s="119" t="s">
        <v>627</v>
      </c>
    </row>
    <row r="5" spans="1:8" ht="18" x14ac:dyDescent="0.55000000000000004">
      <c r="A5" s="102" t="s">
        <v>628</v>
      </c>
      <c r="B5" s="103" t="s">
        <v>629</v>
      </c>
      <c r="C5" s="104">
        <v>100</v>
      </c>
      <c r="D5" s="101"/>
      <c r="E5" s="105" t="s">
        <v>630</v>
      </c>
      <c r="F5" s="106">
        <f>SUMIF(A5:A13,"Jan",C5:C13)</f>
        <v>600</v>
      </c>
      <c r="G5" s="107" t="s">
        <v>631</v>
      </c>
      <c r="H5" s="105"/>
    </row>
    <row r="6" spans="1:8" ht="18" x14ac:dyDescent="0.55000000000000004">
      <c r="A6" s="102" t="s">
        <v>628</v>
      </c>
      <c r="B6" s="103" t="s">
        <v>632</v>
      </c>
      <c r="C6" s="104">
        <v>200</v>
      </c>
      <c r="D6" s="101"/>
      <c r="E6" s="108" t="s">
        <v>633</v>
      </c>
      <c r="F6" s="109">
        <f>COUNTIF(A5:A13,"Feb")</f>
        <v>3</v>
      </c>
      <c r="G6" s="110" t="s">
        <v>634</v>
      </c>
      <c r="H6" s="108"/>
    </row>
    <row r="7" spans="1:8" ht="18" x14ac:dyDescent="0.55000000000000004">
      <c r="A7" s="102" t="s">
        <v>628</v>
      </c>
      <c r="B7" s="103" t="s">
        <v>635</v>
      </c>
      <c r="C7" s="104">
        <v>300</v>
      </c>
      <c r="D7" s="101"/>
      <c r="E7" s="108" t="s">
        <v>636</v>
      </c>
      <c r="F7" s="109">
        <f>SUMIF(A5:A13,"&lt;&gt;Jan",C5:C13)</f>
        <v>1650</v>
      </c>
      <c r="G7" s="110" t="s">
        <v>637</v>
      </c>
      <c r="H7" s="108"/>
    </row>
    <row r="8" spans="1:8" ht="18" x14ac:dyDescent="0.55000000000000004">
      <c r="A8" s="102" t="s">
        <v>638</v>
      </c>
      <c r="B8" s="103" t="s">
        <v>629</v>
      </c>
      <c r="C8" s="104">
        <v>150</v>
      </c>
      <c r="D8" s="101"/>
      <c r="E8" s="111" t="s">
        <v>639</v>
      </c>
      <c r="F8" s="112">
        <f t="array" ref="F8">SUMIF(A5:A13,"Jan",C5:C13)+SUMIF(A5:A13,"Feb",C5:C13)</f>
        <v>1350</v>
      </c>
      <c r="G8" s="113" t="s">
        <v>640</v>
      </c>
      <c r="H8" s="108"/>
    </row>
    <row r="9" spans="1:8" ht="18" x14ac:dyDescent="0.55000000000000004">
      <c r="A9" s="102" t="s">
        <v>638</v>
      </c>
      <c r="B9" s="103" t="s">
        <v>632</v>
      </c>
      <c r="C9" s="104">
        <v>250</v>
      </c>
      <c r="D9" s="101"/>
      <c r="E9" s="111" t="s">
        <v>641</v>
      </c>
      <c r="F9" s="112">
        <f t="array" ref="F9">SUM((A5:A13="Jan")*(B5:B13="North")*C5:C13)</f>
        <v>100</v>
      </c>
      <c r="G9" s="113" t="s">
        <v>642</v>
      </c>
      <c r="H9" s="113" t="s">
        <v>643</v>
      </c>
    </row>
    <row r="10" spans="1:8" ht="18" x14ac:dyDescent="0.55000000000000004">
      <c r="A10" s="102" t="s">
        <v>638</v>
      </c>
      <c r="B10" s="103" t="s">
        <v>635</v>
      </c>
      <c r="C10" s="104">
        <v>350</v>
      </c>
      <c r="D10" s="101"/>
      <c r="E10" s="111" t="s">
        <v>644</v>
      </c>
      <c r="F10" s="103">
        <f t="array" ref="F10">SUM((A5:A13="Jan")*(B5:B13&lt;&gt;"North")*C5:C13)</f>
        <v>500</v>
      </c>
      <c r="G10" s="108" t="s">
        <v>645</v>
      </c>
      <c r="H10" s="113" t="s">
        <v>643</v>
      </c>
    </row>
    <row r="11" spans="1:8" ht="18" x14ac:dyDescent="0.55000000000000004">
      <c r="A11" s="102" t="s">
        <v>646</v>
      </c>
      <c r="B11" s="103" t="s">
        <v>629</v>
      </c>
      <c r="C11" s="104">
        <v>200</v>
      </c>
      <c r="D11" s="101"/>
      <c r="E11" s="111" t="s">
        <v>647</v>
      </c>
      <c r="F11" s="112">
        <f t="array" ref="F11">SUM((A5:A13="Jan")*(B5:B13="North"))</f>
        <v>1</v>
      </c>
      <c r="G11" s="113" t="s">
        <v>648</v>
      </c>
      <c r="H11" s="113" t="s">
        <v>643</v>
      </c>
    </row>
    <row r="12" spans="1:8" ht="18" x14ac:dyDescent="0.55000000000000004">
      <c r="A12" s="102" t="s">
        <v>646</v>
      </c>
      <c r="B12" s="103" t="s">
        <v>649</v>
      </c>
      <c r="C12" s="104">
        <v>300</v>
      </c>
      <c r="D12" s="101"/>
      <c r="E12" s="108" t="s">
        <v>650</v>
      </c>
      <c r="F12" s="112">
        <f t="array" ref="F12">SUM((A5:A13="Jan")*(C5:C13&gt;=200)*(C5:C13))</f>
        <v>500</v>
      </c>
      <c r="G12" s="113" t="s">
        <v>651</v>
      </c>
      <c r="H12" s="113" t="s">
        <v>643</v>
      </c>
    </row>
    <row r="13" spans="1:8" ht="18.399999999999999" thickBot="1" x14ac:dyDescent="0.6">
      <c r="A13" s="114" t="s">
        <v>646</v>
      </c>
      <c r="B13" s="115" t="s">
        <v>635</v>
      </c>
      <c r="C13" s="116">
        <v>400</v>
      </c>
      <c r="D13" s="101"/>
      <c r="E13" s="111" t="s">
        <v>652</v>
      </c>
      <c r="F13" s="112">
        <f t="array" ref="F13">SUM((C5:C13&gt;=300)*(C5:C13&lt;=400)*(C5:C13))</f>
        <v>1350</v>
      </c>
      <c r="G13" s="113" t="s">
        <v>653</v>
      </c>
      <c r="H13" s="113" t="s">
        <v>643</v>
      </c>
    </row>
    <row r="14" spans="1:8" ht="18" x14ac:dyDescent="0.55000000000000004">
      <c r="A14" s="101"/>
      <c r="B14" s="101"/>
      <c r="C14" s="101"/>
      <c r="D14" s="101"/>
      <c r="E14" s="108" t="s">
        <v>654</v>
      </c>
      <c r="F14" s="112">
        <f t="array" ref="F14">SUM((C5:C13&gt;=300)*(C5:C13&lt;=400))</f>
        <v>4</v>
      </c>
      <c r="G14" s="113" t="s">
        <v>655</v>
      </c>
      <c r="H14" s="113" t="s">
        <v>643</v>
      </c>
    </row>
    <row r="15" spans="1:8" ht="18" x14ac:dyDescent="0.55000000000000004">
      <c r="A15" s="101"/>
      <c r="B15" s="101"/>
      <c r="C15" s="101"/>
      <c r="D15" s="101"/>
      <c r="E15" s="101"/>
      <c r="F15" s="103"/>
      <c r="G15" s="101"/>
      <c r="H15" s="101"/>
    </row>
    <row r="16" spans="1:8" ht="18" x14ac:dyDescent="0.55000000000000004">
      <c r="A16" s="101"/>
      <c r="B16" s="101"/>
      <c r="C16" s="101"/>
      <c r="D16" s="101"/>
      <c r="E16" s="58" t="s">
        <v>656</v>
      </c>
      <c r="F16" s="103"/>
      <c r="G16" s="101"/>
      <c r="H16" s="101"/>
    </row>
    <row r="17" spans="1:8" ht="18" x14ac:dyDescent="0.55000000000000004">
      <c r="A17" s="36"/>
      <c r="B17" s="36"/>
      <c r="C17" s="36"/>
      <c r="D17" s="36"/>
      <c r="E17" s="36"/>
      <c r="F17" s="117"/>
      <c r="G17" s="36"/>
      <c r="H17" s="36"/>
    </row>
  </sheetData>
  <pageMargins left="0.7" right="0.7" top="0.75" bottom="0.75" header="0.3" footer="0.3"/>
  <pageSetup orientation="portrait"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K26"/>
  <sheetViews>
    <sheetView workbookViewId="0"/>
  </sheetViews>
  <sheetFormatPr defaultColWidth="9.1328125" defaultRowHeight="15.75" x14ac:dyDescent="0.5"/>
  <cols>
    <col min="1" max="1" width="22.73046875" style="3" customWidth="1"/>
    <col min="2" max="3" width="9.1328125" style="3" customWidth="1"/>
    <col min="4" max="5" width="15.73046875" style="3" customWidth="1"/>
    <col min="6" max="8" width="9.1328125" style="3" customWidth="1"/>
    <col min="9" max="10" width="15.73046875" style="3" customWidth="1"/>
    <col min="11" max="16384" width="9.1328125" style="3"/>
  </cols>
  <sheetData>
    <row r="1" spans="1:11" ht="23.25" x14ac:dyDescent="0.7">
      <c r="A1" s="1" t="s">
        <v>860</v>
      </c>
      <c r="B1" s="4"/>
      <c r="C1" s="4" t="s">
        <v>898</v>
      </c>
    </row>
    <row r="2" spans="1:11" x14ac:dyDescent="0.5">
      <c r="A2" s="4"/>
      <c r="B2" s="4"/>
      <c r="C2" s="4"/>
    </row>
    <row r="3" spans="1:11" x14ac:dyDescent="0.5">
      <c r="A3" s="3" t="s">
        <v>899</v>
      </c>
      <c r="C3" s="4"/>
    </row>
    <row r="4" spans="1:11" x14ac:dyDescent="0.5">
      <c r="A4" s="3" t="s">
        <v>900</v>
      </c>
      <c r="C4" s="4"/>
    </row>
    <row r="5" spans="1:11" x14ac:dyDescent="0.5">
      <c r="A5" s="3" t="s">
        <v>901</v>
      </c>
      <c r="C5" s="4"/>
    </row>
    <row r="6" spans="1:11" x14ac:dyDescent="0.5">
      <c r="A6" s="267" t="s">
        <v>902</v>
      </c>
      <c r="C6" s="4"/>
    </row>
    <row r="7" spans="1:11" x14ac:dyDescent="0.5">
      <c r="A7" s="267" t="s">
        <v>903</v>
      </c>
      <c r="C7" s="4"/>
    </row>
    <row r="8" spans="1:11" x14ac:dyDescent="0.5">
      <c r="A8" s="267" t="s">
        <v>904</v>
      </c>
      <c r="C8" s="4"/>
    </row>
    <row r="9" spans="1:11" x14ac:dyDescent="0.5">
      <c r="A9" s="267" t="s">
        <v>905</v>
      </c>
      <c r="C9" s="4"/>
    </row>
    <row r="10" spans="1:11" x14ac:dyDescent="0.5">
      <c r="A10" s="4"/>
      <c r="B10" s="4"/>
      <c r="C10" s="4"/>
    </row>
    <row r="11" spans="1:11" ht="16.149999999999999" thickBot="1" x14ac:dyDescent="0.55000000000000004">
      <c r="A11" s="4"/>
      <c r="B11" s="4"/>
      <c r="C11" s="4"/>
    </row>
    <row r="12" spans="1:11" ht="16.149999999999999" thickTop="1" x14ac:dyDescent="0.5">
      <c r="C12" s="248" t="s">
        <v>892</v>
      </c>
      <c r="D12" s="237"/>
      <c r="E12" s="237"/>
      <c r="F12" s="238"/>
      <c r="H12" s="248" t="s">
        <v>893</v>
      </c>
      <c r="I12" s="237"/>
      <c r="J12" s="237"/>
      <c r="K12" s="238"/>
    </row>
    <row r="13" spans="1:11" x14ac:dyDescent="0.5">
      <c r="C13" s="239"/>
      <c r="F13" s="240"/>
      <c r="H13" s="239"/>
      <c r="K13" s="240"/>
    </row>
    <row r="14" spans="1:11" x14ac:dyDescent="0.5">
      <c r="C14" s="239"/>
      <c r="D14" s="249" t="s">
        <v>861</v>
      </c>
      <c r="E14" s="250" t="s">
        <v>862</v>
      </c>
      <c r="F14" s="251"/>
      <c r="G14" s="8"/>
      <c r="H14" s="252"/>
      <c r="I14" s="249" t="s">
        <v>871</v>
      </c>
      <c r="J14" s="250" t="s">
        <v>870</v>
      </c>
      <c r="K14" s="240"/>
    </row>
    <row r="15" spans="1:11" x14ac:dyDescent="0.5">
      <c r="C15" s="239"/>
      <c r="D15" s="253">
        <v>0</v>
      </c>
      <c r="E15" s="254" t="s">
        <v>863</v>
      </c>
      <c r="F15" s="251"/>
      <c r="G15" s="8"/>
      <c r="H15" s="252"/>
      <c r="I15" s="253">
        <v>0</v>
      </c>
      <c r="J15" s="255">
        <v>6</v>
      </c>
      <c r="K15" s="240"/>
    </row>
    <row r="16" spans="1:11" x14ac:dyDescent="0.5">
      <c r="C16" s="239"/>
      <c r="D16" s="253">
        <v>60</v>
      </c>
      <c r="E16" s="254" t="s">
        <v>864</v>
      </c>
      <c r="F16" s="251"/>
      <c r="G16" s="8"/>
      <c r="H16" s="252"/>
      <c r="I16" s="253">
        <v>1</v>
      </c>
      <c r="J16" s="255">
        <v>5</v>
      </c>
      <c r="K16" s="240"/>
    </row>
    <row r="17" spans="3:11" x14ac:dyDescent="0.5">
      <c r="C17" s="239"/>
      <c r="D17" s="253">
        <v>70</v>
      </c>
      <c r="E17" s="254" t="s">
        <v>865</v>
      </c>
      <c r="F17" s="251"/>
      <c r="G17" s="8"/>
      <c r="H17" s="252"/>
      <c r="I17" s="253">
        <v>5</v>
      </c>
      <c r="J17" s="255">
        <v>4</v>
      </c>
      <c r="K17" s="240"/>
    </row>
    <row r="18" spans="3:11" x14ac:dyDescent="0.5">
      <c r="C18" s="239"/>
      <c r="D18" s="253">
        <v>80</v>
      </c>
      <c r="E18" s="254" t="s">
        <v>866</v>
      </c>
      <c r="F18" s="251"/>
      <c r="G18" s="8"/>
      <c r="H18" s="252"/>
      <c r="I18" s="253">
        <v>10</v>
      </c>
      <c r="J18" s="255">
        <v>3</v>
      </c>
      <c r="K18" s="240"/>
    </row>
    <row r="19" spans="3:11" x14ac:dyDescent="0.5">
      <c r="C19" s="239"/>
      <c r="D19" s="256">
        <v>90</v>
      </c>
      <c r="E19" s="257" t="s">
        <v>867</v>
      </c>
      <c r="F19" s="251"/>
      <c r="G19" s="8"/>
      <c r="H19" s="252"/>
      <c r="I19" s="256">
        <v>20</v>
      </c>
      <c r="J19" s="258">
        <v>2</v>
      </c>
      <c r="K19" s="240"/>
    </row>
    <row r="20" spans="3:11" x14ac:dyDescent="0.5">
      <c r="C20" s="239"/>
      <c r="F20" s="240"/>
      <c r="H20" s="239"/>
      <c r="I20" s="8"/>
      <c r="J20" s="15"/>
      <c r="K20" s="240"/>
    </row>
    <row r="21" spans="3:11" x14ac:dyDescent="0.5">
      <c r="C21" s="239"/>
      <c r="F21" s="240"/>
      <c r="H21" s="239"/>
      <c r="I21" s="8"/>
      <c r="J21" s="15"/>
      <c r="K21" s="240"/>
    </row>
    <row r="22" spans="3:11" x14ac:dyDescent="0.5">
      <c r="C22" s="239"/>
      <c r="D22" s="249" t="s">
        <v>861</v>
      </c>
      <c r="E22" s="250" t="s">
        <v>862</v>
      </c>
      <c r="F22" s="251"/>
      <c r="G22" s="8"/>
      <c r="H22" s="252"/>
      <c r="I22" s="249" t="s">
        <v>868</v>
      </c>
      <c r="J22" s="259" t="s">
        <v>869</v>
      </c>
      <c r="K22" s="240"/>
    </row>
    <row r="23" spans="3:11" x14ac:dyDescent="0.5">
      <c r="C23" s="239"/>
      <c r="D23" s="256">
        <v>84</v>
      </c>
      <c r="E23" s="260" t="str">
        <f>VLOOKUP(D23,D15:E19,2,TRUE)</f>
        <v>B</v>
      </c>
      <c r="F23" s="244"/>
      <c r="G23" s="232"/>
      <c r="H23" s="261"/>
      <c r="I23" s="256">
        <v>10.5</v>
      </c>
      <c r="J23" s="262">
        <f>VLOOKUP(I23,I15:J19,2,1)*I23</f>
        <v>31.5</v>
      </c>
      <c r="K23" s="240"/>
    </row>
    <row r="24" spans="3:11" x14ac:dyDescent="0.5">
      <c r="C24" s="239"/>
      <c r="F24" s="240"/>
      <c r="H24" s="239"/>
      <c r="K24" s="240"/>
    </row>
    <row r="25" spans="3:11" ht="16.149999999999999" thickBot="1" x14ac:dyDescent="0.55000000000000004">
      <c r="C25" s="241"/>
      <c r="D25" s="242"/>
      <c r="E25" s="242"/>
      <c r="F25" s="243"/>
      <c r="H25" s="241"/>
      <c r="I25" s="242"/>
      <c r="J25" s="242"/>
      <c r="K25" s="243"/>
    </row>
    <row r="26" spans="3:11" ht="16.149999999999999" thickTop="1" x14ac:dyDescent="0.5"/>
  </sheetData>
  <pageMargins left="0.7" right="0.7" top="0.75" bottom="0.75" header="0.3" footer="0.3"/>
  <pageSetup orientation="portrait" horizontalDpi="4294967295" verticalDpi="4294967295"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N28"/>
  <sheetViews>
    <sheetView workbookViewId="0">
      <selection activeCell="M13" sqref="M13"/>
    </sheetView>
  </sheetViews>
  <sheetFormatPr defaultColWidth="9.1328125" defaultRowHeight="15.75" x14ac:dyDescent="0.5"/>
  <cols>
    <col min="1" max="1" width="22.73046875" style="3" bestFit="1" customWidth="1"/>
    <col min="2" max="2" width="9.1328125" style="3"/>
    <col min="3" max="4" width="15.73046875" style="3" customWidth="1"/>
    <col min="5" max="6" width="9.1328125" style="3" customWidth="1"/>
    <col min="7" max="7" width="9.1328125" style="3"/>
    <col min="8" max="9" width="15.73046875" style="3" customWidth="1"/>
    <col min="10" max="10" width="9.1328125" style="3"/>
    <col min="11" max="11" width="15.73046875" style="3" customWidth="1"/>
    <col min="12" max="12" width="9.1328125" style="3"/>
    <col min="13" max="13" width="15.73046875" style="3" customWidth="1"/>
    <col min="14" max="16384" width="9.1328125" style="3"/>
  </cols>
  <sheetData>
    <row r="1" spans="1:14" ht="23.25" x14ac:dyDescent="0.7">
      <c r="A1" s="1" t="s">
        <v>872</v>
      </c>
      <c r="C1" s="4" t="s">
        <v>906</v>
      </c>
    </row>
    <row r="2" spans="1:14" x14ac:dyDescent="0.5">
      <c r="A2" s="4"/>
    </row>
    <row r="3" spans="1:14" x14ac:dyDescent="0.5">
      <c r="A3" s="3" t="s">
        <v>899</v>
      </c>
    </row>
    <row r="4" spans="1:14" x14ac:dyDescent="0.5">
      <c r="A4" s="3" t="s">
        <v>907</v>
      </c>
    </row>
    <row r="5" spans="1:14" x14ac:dyDescent="0.5">
      <c r="A5" s="3" t="s">
        <v>901</v>
      </c>
    </row>
    <row r="6" spans="1:14" x14ac:dyDescent="0.5">
      <c r="A6" s="267" t="s">
        <v>908</v>
      </c>
    </row>
    <row r="7" spans="1:14" x14ac:dyDescent="0.5">
      <c r="A7" s="267" t="s">
        <v>909</v>
      </c>
    </row>
    <row r="8" spans="1:14" x14ac:dyDescent="0.5">
      <c r="A8" s="4"/>
    </row>
    <row r="9" spans="1:14" ht="16.149999999999999" thickBot="1" x14ac:dyDescent="0.55000000000000004">
      <c r="A9" s="4"/>
    </row>
    <row r="10" spans="1:14" ht="16.149999999999999" thickTop="1" x14ac:dyDescent="0.5">
      <c r="B10" s="248" t="s">
        <v>891</v>
      </c>
      <c r="C10" s="237"/>
      <c r="D10" s="237"/>
      <c r="E10" s="238"/>
      <c r="G10" s="248" t="s">
        <v>890</v>
      </c>
      <c r="H10" s="237"/>
      <c r="I10" s="237"/>
      <c r="J10" s="237"/>
      <c r="K10" s="237"/>
      <c r="L10" s="237"/>
      <c r="M10" s="237"/>
      <c r="N10" s="238"/>
    </row>
    <row r="11" spans="1:14" x14ac:dyDescent="0.5">
      <c r="B11" s="239"/>
      <c r="E11" s="240"/>
      <c r="G11" s="239"/>
      <c r="H11" s="4"/>
      <c r="N11" s="240"/>
    </row>
    <row r="12" spans="1:14" x14ac:dyDescent="0.5">
      <c r="B12" s="239"/>
      <c r="C12" s="224" t="s">
        <v>873</v>
      </c>
      <c r="D12" s="225" t="s">
        <v>511</v>
      </c>
      <c r="E12" s="244"/>
      <c r="F12" s="232"/>
      <c r="G12" s="239"/>
      <c r="H12" s="224" t="s">
        <v>882</v>
      </c>
      <c r="I12" s="225" t="s">
        <v>881</v>
      </c>
      <c r="K12" s="234" t="s">
        <v>886</v>
      </c>
      <c r="M12" s="234" t="s">
        <v>889</v>
      </c>
      <c r="N12" s="240"/>
    </row>
    <row r="13" spans="1:14" x14ac:dyDescent="0.5">
      <c r="B13" s="239"/>
      <c r="C13" s="215" t="s">
        <v>879</v>
      </c>
      <c r="D13" s="226">
        <v>23</v>
      </c>
      <c r="E13" s="245"/>
      <c r="F13" s="10"/>
      <c r="G13" s="239"/>
      <c r="H13" s="215" t="s">
        <v>883</v>
      </c>
      <c r="I13" s="181">
        <v>24</v>
      </c>
      <c r="K13" s="235" t="s">
        <v>885</v>
      </c>
      <c r="M13" s="236">
        <f>SUMPRODUCT(SUMIF(H13:H19,Items,I13:I19))</f>
        <v>0</v>
      </c>
      <c r="N13" s="240"/>
    </row>
    <row r="14" spans="1:14" x14ac:dyDescent="0.5">
      <c r="B14" s="239"/>
      <c r="C14" s="44" t="s">
        <v>874</v>
      </c>
      <c r="D14" s="227">
        <v>56.15</v>
      </c>
      <c r="E14" s="245"/>
      <c r="F14" s="10"/>
      <c r="G14" s="239"/>
      <c r="H14" s="44" t="s">
        <v>884</v>
      </c>
      <c r="I14" s="183">
        <v>12</v>
      </c>
      <c r="K14" s="213" t="s">
        <v>884</v>
      </c>
      <c r="N14" s="240"/>
    </row>
    <row r="15" spans="1:14" x14ac:dyDescent="0.5">
      <c r="B15" s="239"/>
      <c r="C15" s="44" t="s">
        <v>878</v>
      </c>
      <c r="D15" s="227">
        <v>112.99</v>
      </c>
      <c r="E15" s="245"/>
      <c r="F15" s="10"/>
      <c r="G15" s="239"/>
      <c r="H15" s="44" t="s">
        <v>883</v>
      </c>
      <c r="I15" s="183">
        <v>36</v>
      </c>
      <c r="K15" s="214" t="s">
        <v>887</v>
      </c>
      <c r="N15" s="240"/>
    </row>
    <row r="16" spans="1:14" x14ac:dyDescent="0.5">
      <c r="B16" s="239"/>
      <c r="C16" s="44" t="s">
        <v>875</v>
      </c>
      <c r="D16" s="227">
        <v>52</v>
      </c>
      <c r="E16" s="245"/>
      <c r="F16" s="10"/>
      <c r="G16" s="239"/>
      <c r="H16" s="44" t="s">
        <v>885</v>
      </c>
      <c r="I16" s="183">
        <v>24</v>
      </c>
      <c r="N16" s="240"/>
    </row>
    <row r="17" spans="2:14" x14ac:dyDescent="0.5">
      <c r="B17" s="239"/>
      <c r="C17" s="44" t="s">
        <v>876</v>
      </c>
      <c r="D17" s="227">
        <v>45</v>
      </c>
      <c r="E17" s="245"/>
      <c r="F17" s="10"/>
      <c r="G17" s="239"/>
      <c r="H17" s="44" t="s">
        <v>887</v>
      </c>
      <c r="I17" s="183">
        <v>10</v>
      </c>
      <c r="K17" s="3" t="s">
        <v>888</v>
      </c>
      <c r="N17" s="240"/>
    </row>
    <row r="18" spans="2:14" x14ac:dyDescent="0.5">
      <c r="B18" s="239"/>
      <c r="C18" s="44" t="s">
        <v>877</v>
      </c>
      <c r="D18" s="227">
        <v>258</v>
      </c>
      <c r="E18" s="245"/>
      <c r="F18" s="10"/>
      <c r="G18" s="239"/>
      <c r="H18" s="44" t="s">
        <v>884</v>
      </c>
      <c r="I18" s="183">
        <v>18</v>
      </c>
      <c r="N18" s="240"/>
    </row>
    <row r="19" spans="2:14" x14ac:dyDescent="0.5">
      <c r="B19" s="239"/>
      <c r="C19" s="46" t="s">
        <v>879</v>
      </c>
      <c r="D19" s="228">
        <v>112</v>
      </c>
      <c r="E19" s="245"/>
      <c r="F19" s="10"/>
      <c r="G19" s="239"/>
      <c r="H19" s="46" t="s">
        <v>885</v>
      </c>
      <c r="I19" s="184">
        <v>10</v>
      </c>
      <c r="N19" s="240"/>
    </row>
    <row r="20" spans="2:14" x14ac:dyDescent="0.5">
      <c r="B20" s="239"/>
      <c r="E20" s="240"/>
      <c r="G20" s="239"/>
      <c r="N20" s="240"/>
    </row>
    <row r="21" spans="2:14" ht="16.149999999999999" thickBot="1" x14ac:dyDescent="0.55000000000000004">
      <c r="B21" s="239"/>
      <c r="C21" s="224" t="s">
        <v>873</v>
      </c>
      <c r="D21" s="225" t="s">
        <v>511</v>
      </c>
      <c r="E21" s="244"/>
      <c r="F21" s="232"/>
      <c r="G21" s="241"/>
      <c r="H21" s="242"/>
      <c r="I21" s="242"/>
      <c r="J21" s="242"/>
      <c r="K21" s="242"/>
      <c r="L21" s="242"/>
      <c r="M21" s="242"/>
      <c r="N21" s="243"/>
    </row>
    <row r="22" spans="2:14" ht="16.149999999999999" thickTop="1" x14ac:dyDescent="0.5">
      <c r="B22" s="239"/>
      <c r="C22" s="319" t="s">
        <v>877</v>
      </c>
      <c r="D22" s="230">
        <f>SUMPRODUCT(--(EXACT(C22,C13:C19)),D13:D19)</f>
        <v>258</v>
      </c>
      <c r="E22" s="246"/>
      <c r="F22" s="11"/>
    </row>
    <row r="23" spans="2:14" x14ac:dyDescent="0.5">
      <c r="B23" s="239"/>
      <c r="E23" s="240"/>
    </row>
    <row r="24" spans="2:14" x14ac:dyDescent="0.5">
      <c r="B24" s="239"/>
      <c r="C24" s="224" t="s">
        <v>873</v>
      </c>
      <c r="D24" s="225" t="s">
        <v>880</v>
      </c>
      <c r="E24" s="244"/>
      <c r="F24" s="232"/>
    </row>
    <row r="25" spans="2:14" x14ac:dyDescent="0.5">
      <c r="B25" s="239"/>
      <c r="C25" s="229" t="str">
        <f>+C22</f>
        <v>10-102</v>
      </c>
      <c r="D25" s="231">
        <f>SUMPRODUCT(--(C13:C19=C22))</f>
        <v>1</v>
      </c>
      <c r="E25" s="247"/>
      <c r="F25" s="233"/>
    </row>
    <row r="26" spans="2:14" x14ac:dyDescent="0.5">
      <c r="B26" s="239"/>
      <c r="E26" s="240"/>
    </row>
    <row r="27" spans="2:14" ht="16.149999999999999" thickBot="1" x14ac:dyDescent="0.55000000000000004">
      <c r="B27" s="241"/>
      <c r="C27" s="242"/>
      <c r="D27" s="242"/>
      <c r="E27" s="243"/>
      <c r="G27" s="318"/>
    </row>
    <row r="28" spans="2:14" ht="16.149999999999999" thickTop="1" x14ac:dyDescent="0.5"/>
  </sheetData>
  <pageMargins left="0.7" right="0.7" top="0.75" bottom="0.75" header="0.3" footer="0.3"/>
  <pageSetup orientation="portrait" horizontalDpi="4294967295" verticalDpi="4294967295"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E72"/>
  <sheetViews>
    <sheetView workbookViewId="0">
      <selection activeCell="K33" sqref="K33"/>
    </sheetView>
  </sheetViews>
  <sheetFormatPr defaultColWidth="9.1328125" defaultRowHeight="15.75" x14ac:dyDescent="0.5"/>
  <cols>
    <col min="1" max="1" width="30.1328125" style="3" customWidth="1"/>
    <col min="2" max="4" width="18.73046875" style="3" customWidth="1"/>
    <col min="5" max="5" width="17" style="3" bestFit="1" customWidth="1"/>
    <col min="6" max="16384" width="9.1328125" style="3"/>
  </cols>
  <sheetData>
    <row r="1" spans="1:4" ht="23.25" x14ac:dyDescent="0.7">
      <c r="A1" s="67" t="s">
        <v>789</v>
      </c>
    </row>
    <row r="3" spans="1:4" x14ac:dyDescent="0.5">
      <c r="A3" s="163"/>
      <c r="B3" s="163"/>
      <c r="C3" s="186"/>
      <c r="D3" s="186"/>
    </row>
    <row r="4" spans="1:4" x14ac:dyDescent="0.5">
      <c r="A4" s="163" t="s">
        <v>790</v>
      </c>
      <c r="B4" s="186"/>
      <c r="C4" s="187">
        <v>6000</v>
      </c>
      <c r="D4" s="187"/>
    </row>
    <row r="5" spans="1:4" ht="16.149999999999999" thickBot="1" x14ac:dyDescent="0.55000000000000004">
      <c r="A5" s="188"/>
      <c r="B5" s="189"/>
      <c r="C5" s="189"/>
      <c r="D5" s="189"/>
    </row>
    <row r="6" spans="1:4" ht="16.149999999999999" thickBot="1" x14ac:dyDescent="0.55000000000000004">
      <c r="A6" s="188"/>
      <c r="B6" s="196" t="s">
        <v>791</v>
      </c>
      <c r="C6" s="197" t="s">
        <v>792</v>
      </c>
      <c r="D6" s="198" t="s">
        <v>793</v>
      </c>
    </row>
    <row r="7" spans="1:4" x14ac:dyDescent="0.5">
      <c r="A7" s="163" t="s">
        <v>549</v>
      </c>
      <c r="B7" s="199">
        <v>500</v>
      </c>
      <c r="C7" s="190">
        <v>-850</v>
      </c>
      <c r="D7" s="191">
        <v>5650</v>
      </c>
    </row>
    <row r="8" spans="1:4" x14ac:dyDescent="0.5">
      <c r="A8" s="163" t="s">
        <v>794</v>
      </c>
      <c r="B8" s="200">
        <v>1000</v>
      </c>
      <c r="C8" s="192">
        <v>-850</v>
      </c>
      <c r="D8" s="193">
        <v>5800</v>
      </c>
    </row>
    <row r="9" spans="1:4" x14ac:dyDescent="0.5">
      <c r="A9" s="163" t="s">
        <v>795</v>
      </c>
      <c r="B9" s="200">
        <v>500</v>
      </c>
      <c r="C9" s="192">
        <v>-850</v>
      </c>
      <c r="D9" s="193">
        <v>5450</v>
      </c>
    </row>
    <row r="10" spans="1:4" x14ac:dyDescent="0.5">
      <c r="A10" s="163" t="s">
        <v>552</v>
      </c>
      <c r="B10" s="200">
        <v>300</v>
      </c>
      <c r="C10" s="192">
        <v>-850</v>
      </c>
      <c r="D10" s="193">
        <v>4900</v>
      </c>
    </row>
    <row r="11" spans="1:4" x14ac:dyDescent="0.5">
      <c r="A11" s="163" t="s">
        <v>553</v>
      </c>
      <c r="B11" s="200">
        <v>500</v>
      </c>
      <c r="C11" s="192">
        <v>-850</v>
      </c>
      <c r="D11" s="193">
        <v>4550</v>
      </c>
    </row>
    <row r="12" spans="1:4" x14ac:dyDescent="0.5">
      <c r="A12" s="163" t="s">
        <v>554</v>
      </c>
      <c r="B12" s="200">
        <v>300</v>
      </c>
      <c r="C12" s="192">
        <v>-850</v>
      </c>
      <c r="D12" s="193">
        <v>4000</v>
      </c>
    </row>
    <row r="13" spans="1:4" x14ac:dyDescent="0.5">
      <c r="A13" s="163" t="s">
        <v>796</v>
      </c>
      <c r="B13" s="200">
        <v>500</v>
      </c>
      <c r="C13" s="192">
        <v>-850</v>
      </c>
      <c r="D13" s="193">
        <v>3650</v>
      </c>
    </row>
    <row r="14" spans="1:4" x14ac:dyDescent="0.5">
      <c r="A14" s="163" t="s">
        <v>555</v>
      </c>
      <c r="B14" s="200">
        <v>1000</v>
      </c>
      <c r="C14" s="192">
        <v>-850</v>
      </c>
      <c r="D14" s="193">
        <v>3800</v>
      </c>
    </row>
    <row r="15" spans="1:4" x14ac:dyDescent="0.5">
      <c r="A15" s="163" t="s">
        <v>512</v>
      </c>
      <c r="B15" s="200">
        <v>3000</v>
      </c>
      <c r="C15" s="192">
        <v>-850</v>
      </c>
      <c r="D15" s="193">
        <v>5950</v>
      </c>
    </row>
    <row r="16" spans="1:4" x14ac:dyDescent="0.5">
      <c r="A16" s="163" t="s">
        <v>543</v>
      </c>
      <c r="B16" s="200">
        <v>1750</v>
      </c>
      <c r="C16" s="192">
        <v>-850</v>
      </c>
      <c r="D16" s="193">
        <v>6850</v>
      </c>
    </row>
    <row r="17" spans="1:4" x14ac:dyDescent="0.5">
      <c r="A17" s="163" t="s">
        <v>547</v>
      </c>
      <c r="B17" s="200">
        <v>750</v>
      </c>
      <c r="C17" s="192">
        <v>-850</v>
      </c>
      <c r="D17" s="193">
        <v>6750</v>
      </c>
    </row>
    <row r="18" spans="1:4" x14ac:dyDescent="0.5">
      <c r="A18" s="163" t="s">
        <v>550</v>
      </c>
      <c r="B18" s="201">
        <v>750</v>
      </c>
      <c r="C18" s="194">
        <v>-850</v>
      </c>
      <c r="D18" s="195">
        <v>6650</v>
      </c>
    </row>
    <row r="19" spans="1:4" x14ac:dyDescent="0.5">
      <c r="A19" s="163"/>
      <c r="B19" s="185"/>
      <c r="C19" s="185"/>
      <c r="D19" s="185"/>
    </row>
    <row r="20" spans="1:4" x14ac:dyDescent="0.5">
      <c r="B20" s="202"/>
      <c r="C20" s="202"/>
      <c r="D20" s="202"/>
    </row>
    <row r="23" spans="1:4" x14ac:dyDescent="0.5">
      <c r="A23" s="131" t="s">
        <v>896</v>
      </c>
    </row>
    <row r="24" spans="1:4" x14ac:dyDescent="0.5">
      <c r="B24" s="203" t="s">
        <v>797</v>
      </c>
      <c r="C24" s="203" t="s">
        <v>798</v>
      </c>
    </row>
    <row r="25" spans="1:4" x14ac:dyDescent="0.5">
      <c r="B25" s="204" t="s">
        <v>799</v>
      </c>
      <c r="C25" s="205" t="s">
        <v>800</v>
      </c>
    </row>
    <row r="26" spans="1:4" x14ac:dyDescent="0.5">
      <c r="B26" s="204" t="s">
        <v>801</v>
      </c>
      <c r="C26" s="205" t="s">
        <v>802</v>
      </c>
    </row>
    <row r="27" spans="1:4" x14ac:dyDescent="0.5">
      <c r="B27" s="204" t="s">
        <v>803</v>
      </c>
      <c r="C27" s="205" t="s">
        <v>804</v>
      </c>
    </row>
    <row r="28" spans="1:4" x14ac:dyDescent="0.5">
      <c r="B28" s="204" t="s">
        <v>805</v>
      </c>
      <c r="C28" s="205" t="s">
        <v>806</v>
      </c>
    </row>
    <row r="29" spans="1:4" x14ac:dyDescent="0.5">
      <c r="B29" s="204" t="s">
        <v>807</v>
      </c>
      <c r="C29" s="205" t="s">
        <v>808</v>
      </c>
    </row>
    <row r="30" spans="1:4" x14ac:dyDescent="0.5">
      <c r="B30" s="204" t="s">
        <v>809</v>
      </c>
      <c r="C30" s="205" t="s">
        <v>810</v>
      </c>
    </row>
    <row r="31" spans="1:4" x14ac:dyDescent="0.5">
      <c r="B31" s="204" t="s">
        <v>811</v>
      </c>
      <c r="C31" s="205" t="s">
        <v>812</v>
      </c>
    </row>
    <row r="32" spans="1:4" x14ac:dyDescent="0.5">
      <c r="B32" s="204"/>
      <c r="C32" s="205"/>
    </row>
    <row r="33" spans="1:5" x14ac:dyDescent="0.5">
      <c r="B33" s="204"/>
      <c r="C33" s="205"/>
    </row>
    <row r="34" spans="1:5" x14ac:dyDescent="0.5">
      <c r="B34" s="204"/>
      <c r="C34" s="205"/>
    </row>
    <row r="35" spans="1:5" x14ac:dyDescent="0.5">
      <c r="B35" s="204"/>
      <c r="C35" s="205"/>
    </row>
    <row r="36" spans="1:5" x14ac:dyDescent="0.5">
      <c r="B36" s="204"/>
      <c r="C36" s="205"/>
    </row>
    <row r="38" spans="1:5" x14ac:dyDescent="0.5">
      <c r="A38" s="206" t="s">
        <v>813</v>
      </c>
      <c r="B38" s="207" t="s">
        <v>814</v>
      </c>
      <c r="C38" s="208"/>
    </row>
    <row r="42" spans="1:5" x14ac:dyDescent="0.5">
      <c r="A42" s="131" t="s">
        <v>897</v>
      </c>
    </row>
    <row r="43" spans="1:5" x14ac:dyDescent="0.5">
      <c r="A43" s="209" t="s">
        <v>815</v>
      </c>
      <c r="B43" s="210" t="s">
        <v>486</v>
      </c>
      <c r="C43" s="211" t="s">
        <v>816</v>
      </c>
      <c r="E43" s="212" t="s">
        <v>817</v>
      </c>
    </row>
    <row r="44" spans="1:5" x14ac:dyDescent="0.5">
      <c r="A44" s="215" t="s">
        <v>800</v>
      </c>
      <c r="B44" s="216">
        <v>12</v>
      </c>
      <c r="C44" s="181"/>
      <c r="E44" s="213" t="s">
        <v>818</v>
      </c>
    </row>
    <row r="45" spans="1:5" x14ac:dyDescent="0.5">
      <c r="A45" s="44" t="s">
        <v>802</v>
      </c>
      <c r="B45" s="3">
        <v>9</v>
      </c>
      <c r="C45" s="183"/>
      <c r="E45" s="213" t="s">
        <v>819</v>
      </c>
    </row>
    <row r="46" spans="1:5" x14ac:dyDescent="0.5">
      <c r="A46" s="44" t="s">
        <v>804</v>
      </c>
      <c r="B46" s="3">
        <v>10</v>
      </c>
      <c r="C46" s="183"/>
      <c r="E46" s="213" t="s">
        <v>820</v>
      </c>
    </row>
    <row r="47" spans="1:5" x14ac:dyDescent="0.5">
      <c r="A47" s="44" t="s">
        <v>806</v>
      </c>
      <c r="B47" s="3">
        <v>11</v>
      </c>
      <c r="C47" s="183"/>
      <c r="E47" s="213" t="s">
        <v>821</v>
      </c>
    </row>
    <row r="48" spans="1:5" x14ac:dyDescent="0.5">
      <c r="A48" s="44" t="s">
        <v>808</v>
      </c>
      <c r="B48" s="3">
        <v>12</v>
      </c>
      <c r="C48" s="183"/>
      <c r="E48" s="214" t="s">
        <v>822</v>
      </c>
    </row>
    <row r="49" spans="1:3" x14ac:dyDescent="0.5">
      <c r="A49" s="46" t="s">
        <v>810</v>
      </c>
      <c r="B49" s="72">
        <v>9</v>
      </c>
      <c r="C49" s="184"/>
    </row>
    <row r="59" spans="1:3" x14ac:dyDescent="0.5">
      <c r="A59" s="4" t="s">
        <v>823</v>
      </c>
    </row>
    <row r="61" spans="1:3" x14ac:dyDescent="0.5">
      <c r="A61" s="209" t="s">
        <v>824</v>
      </c>
      <c r="B61" s="211" t="s">
        <v>825</v>
      </c>
    </row>
    <row r="62" spans="1:3" x14ac:dyDescent="0.5">
      <c r="A62" s="3" t="s">
        <v>826</v>
      </c>
      <c r="C62" s="8"/>
    </row>
    <row r="63" spans="1:3" x14ac:dyDescent="0.5">
      <c r="A63" s="3" t="s">
        <v>827</v>
      </c>
      <c r="C63" s="8"/>
    </row>
    <row r="64" spans="1:3" x14ac:dyDescent="0.5">
      <c r="A64" s="3" t="s">
        <v>828</v>
      </c>
      <c r="C64" s="8"/>
    </row>
    <row r="65" spans="1:3" x14ac:dyDescent="0.5">
      <c r="A65" s="3" t="s">
        <v>806</v>
      </c>
      <c r="C65" s="8"/>
    </row>
    <row r="66" spans="1:3" x14ac:dyDescent="0.5">
      <c r="A66" s="3" t="s">
        <v>808</v>
      </c>
      <c r="C66" s="8"/>
    </row>
    <row r="67" spans="1:3" x14ac:dyDescent="0.5">
      <c r="A67" s="3" t="s">
        <v>810</v>
      </c>
      <c r="C67" s="8"/>
    </row>
    <row r="68" spans="1:3" x14ac:dyDescent="0.5">
      <c r="A68" s="3" t="s">
        <v>829</v>
      </c>
    </row>
    <row r="69" spans="1:3" x14ac:dyDescent="0.5">
      <c r="A69" s="3" t="s">
        <v>830</v>
      </c>
    </row>
    <row r="70" spans="1:3" x14ac:dyDescent="0.5">
      <c r="A70" s="3" t="s">
        <v>831</v>
      </c>
    </row>
    <row r="71" spans="1:3" x14ac:dyDescent="0.5">
      <c r="A71" s="3" t="s">
        <v>832</v>
      </c>
    </row>
    <row r="72" spans="1:3" x14ac:dyDescent="0.5">
      <c r="A72" s="3" t="s">
        <v>833</v>
      </c>
    </row>
  </sheetData>
  <dataValidations disablePrompts="1" count="3">
    <dataValidation type="decimal" allowBlank="1" showInputMessage="1" showErrorMessage="1" error="You Done Messed Up AAron!" prompt="Positive Numbers Only" sqref="B7:B18" xr:uid="{00000000-0002-0000-1600-000000000000}">
      <formula1>0</formula1>
      <formula2>5000</formula2>
    </dataValidation>
    <dataValidation type="custom" allowBlank="1" showInputMessage="1" showErrorMessage="1" sqref="B25:B36" xr:uid="{00000000-0002-0000-1600-000001000000}">
      <formula1>COUNTIF($B$25:$B$36,B25)=1</formula1>
    </dataValidation>
    <dataValidation type="list" allowBlank="1" showInputMessage="1" showErrorMessage="1" sqref="C44:C49" xr:uid="{00000000-0002-0000-1600-000002000000}">
      <formula1>$E$44:$E$48</formula1>
    </dataValidation>
  </dataValidations>
  <pageMargins left="0.7" right="0.7" top="0.75" bottom="0.75" header="0.3" footer="0.3"/>
  <drawing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dimension ref="A1:R37"/>
  <sheetViews>
    <sheetView workbookViewId="0">
      <selection activeCell="L11" sqref="L11"/>
    </sheetView>
  </sheetViews>
  <sheetFormatPr defaultColWidth="9.1328125" defaultRowHeight="15.75" x14ac:dyDescent="0.5"/>
  <cols>
    <col min="1" max="11" width="9.1328125" style="3"/>
    <col min="12" max="12" width="30.265625" style="3" bestFit="1" customWidth="1"/>
    <col min="13" max="13" width="15.73046875" style="3" customWidth="1"/>
    <col min="14" max="14" width="9.1328125" style="3"/>
    <col min="15" max="17" width="15.73046875" style="3" customWidth="1"/>
    <col min="18" max="16384" width="9.1328125" style="3"/>
  </cols>
  <sheetData>
    <row r="1" spans="1:18" ht="23.25" x14ac:dyDescent="0.7">
      <c r="A1" s="67" t="s">
        <v>788</v>
      </c>
      <c r="B1" s="67"/>
      <c r="C1" s="67"/>
    </row>
    <row r="2" spans="1:18" ht="16.149999999999999" thickBot="1" x14ac:dyDescent="0.55000000000000004">
      <c r="A2" s="131"/>
      <c r="B2" s="131"/>
      <c r="C2" s="131"/>
    </row>
    <row r="3" spans="1:18" ht="16.149999999999999" thickTop="1" x14ac:dyDescent="0.5">
      <c r="C3" s="248" t="s">
        <v>895</v>
      </c>
      <c r="D3" s="237"/>
      <c r="E3" s="237"/>
      <c r="F3" s="237"/>
      <c r="G3" s="237"/>
      <c r="H3" s="237"/>
      <c r="I3" s="238"/>
      <c r="K3" s="248" t="s">
        <v>894</v>
      </c>
      <c r="L3" s="237"/>
      <c r="M3" s="237"/>
      <c r="N3" s="237"/>
      <c r="O3" s="237"/>
      <c r="P3" s="237"/>
      <c r="Q3" s="237"/>
      <c r="R3" s="238"/>
    </row>
    <row r="4" spans="1:18" ht="16.149999999999999" thickBot="1" x14ac:dyDescent="0.55000000000000004">
      <c r="C4" s="239"/>
      <c r="I4" s="240"/>
      <c r="K4" s="239"/>
      <c r="R4" s="240"/>
    </row>
    <row r="5" spans="1:18" ht="16.149999999999999" thickBot="1" x14ac:dyDescent="0.55000000000000004">
      <c r="C5" s="239"/>
      <c r="D5" s="4" t="s">
        <v>779</v>
      </c>
      <c r="G5" s="4" t="s">
        <v>778</v>
      </c>
      <c r="I5" s="240"/>
      <c r="K5" s="239"/>
      <c r="L5" s="263" t="s">
        <v>834</v>
      </c>
      <c r="M5" s="217" t="s">
        <v>835</v>
      </c>
      <c r="N5" s="264"/>
      <c r="O5" s="218" t="s">
        <v>836</v>
      </c>
      <c r="P5"/>
      <c r="Q5" s="219" t="s">
        <v>837</v>
      </c>
      <c r="R5" s="240"/>
    </row>
    <row r="6" spans="1:18" ht="16.149999999999999" thickBot="1" x14ac:dyDescent="0.55000000000000004">
      <c r="C6" s="239"/>
      <c r="D6" s="215" t="s">
        <v>775</v>
      </c>
      <c r="E6" s="220" t="str">
        <f t="shared" ref="E6:E25" si="0">IFERROR((INDEX($G$6:$H$28,MATCH(D6,$G$6:$G$28,0),2)),"")</f>
        <v>1-985</v>
      </c>
      <c r="G6" s="215" t="s">
        <v>769</v>
      </c>
      <c r="H6" s="182" t="s">
        <v>783</v>
      </c>
      <c r="I6" s="240"/>
      <c r="K6" s="239"/>
      <c r="L6" s="264"/>
      <c r="M6" s="264"/>
      <c r="N6" s="264"/>
      <c r="O6" s="265" t="s">
        <v>838</v>
      </c>
      <c r="P6"/>
      <c r="Q6" s="266" t="s">
        <v>839</v>
      </c>
      <c r="R6" s="240"/>
    </row>
    <row r="7" spans="1:18" ht="16.149999999999999" thickBot="1" x14ac:dyDescent="0.55000000000000004">
      <c r="C7" s="239"/>
      <c r="D7" s="44" t="s">
        <v>769</v>
      </c>
      <c r="E7" s="221" t="str">
        <f t="shared" si="0"/>
        <v>1-013</v>
      </c>
      <c r="G7" s="44" t="s">
        <v>771</v>
      </c>
      <c r="H7" s="183" t="s">
        <v>784</v>
      </c>
      <c r="I7" s="240"/>
      <c r="K7" s="239"/>
      <c r="L7" s="263" t="s">
        <v>840</v>
      </c>
      <c r="M7" s="223" t="str">
        <f>INDEX(O6:Q16,MATCH(M5,O6:O16,0),3)</f>
        <v>Vendor K</v>
      </c>
      <c r="N7" s="264"/>
      <c r="O7" s="265" t="s">
        <v>841</v>
      </c>
      <c r="P7"/>
      <c r="Q7" s="266" t="s">
        <v>842</v>
      </c>
      <c r="R7" s="240"/>
    </row>
    <row r="8" spans="1:18" x14ac:dyDescent="0.5">
      <c r="C8" s="239"/>
      <c r="D8" s="44" t="s">
        <v>772</v>
      </c>
      <c r="E8" s="221" t="str">
        <f t="shared" si="0"/>
        <v/>
      </c>
      <c r="G8" s="44" t="s">
        <v>774</v>
      </c>
      <c r="H8" s="183" t="s">
        <v>785</v>
      </c>
      <c r="I8" s="240"/>
      <c r="K8" s="239"/>
      <c r="L8" s="264"/>
      <c r="M8" s="264"/>
      <c r="N8" s="264"/>
      <c r="O8" s="265" t="s">
        <v>843</v>
      </c>
      <c r="P8"/>
      <c r="Q8" s="266" t="s">
        <v>844</v>
      </c>
      <c r="R8" s="240"/>
    </row>
    <row r="9" spans="1:18" x14ac:dyDescent="0.5">
      <c r="C9" s="239"/>
      <c r="D9" s="44" t="s">
        <v>770</v>
      </c>
      <c r="E9" s="221" t="str">
        <f t="shared" si="0"/>
        <v/>
      </c>
      <c r="G9" s="44" t="s">
        <v>775</v>
      </c>
      <c r="H9" s="183" t="s">
        <v>786</v>
      </c>
      <c r="I9" s="240"/>
      <c r="K9" s="239"/>
      <c r="L9" s="264"/>
      <c r="M9" s="264"/>
      <c r="N9" s="264"/>
      <c r="O9" s="265" t="s">
        <v>845</v>
      </c>
      <c r="P9"/>
      <c r="Q9" s="266" t="s">
        <v>846</v>
      </c>
      <c r="R9" s="240"/>
    </row>
    <row r="10" spans="1:18" x14ac:dyDescent="0.5">
      <c r="C10" s="239"/>
      <c r="D10" s="44" t="s">
        <v>771</v>
      </c>
      <c r="E10" s="221" t="str">
        <f t="shared" si="0"/>
        <v>3-056</v>
      </c>
      <c r="G10" s="44" t="s">
        <v>782</v>
      </c>
      <c r="H10" s="183" t="s">
        <v>787</v>
      </c>
      <c r="I10" s="240"/>
      <c r="K10" s="239"/>
      <c r="L10" s="264"/>
      <c r="M10" s="264"/>
      <c r="N10" s="264"/>
      <c r="O10" s="265" t="s">
        <v>847</v>
      </c>
      <c r="P10"/>
      <c r="Q10" s="266" t="s">
        <v>848</v>
      </c>
      <c r="R10" s="240"/>
    </row>
    <row r="11" spans="1:18" x14ac:dyDescent="0.5">
      <c r="C11" s="239"/>
      <c r="D11" s="44" t="s">
        <v>773</v>
      </c>
      <c r="E11" s="221" t="str">
        <f t="shared" si="0"/>
        <v/>
      </c>
      <c r="G11" s="44"/>
      <c r="H11" s="183"/>
      <c r="I11" s="240"/>
      <c r="K11" s="239"/>
      <c r="L11" s="264"/>
      <c r="M11" s="264"/>
      <c r="N11" s="264"/>
      <c r="O11" s="265" t="s">
        <v>849</v>
      </c>
      <c r="P11"/>
      <c r="Q11" s="266" t="s">
        <v>850</v>
      </c>
      <c r="R11" s="240"/>
    </row>
    <row r="12" spans="1:18" x14ac:dyDescent="0.5">
      <c r="C12" s="239"/>
      <c r="D12" s="44" t="s">
        <v>774</v>
      </c>
      <c r="E12" s="221" t="str">
        <f t="shared" si="0"/>
        <v>7-085</v>
      </c>
      <c r="G12" s="44"/>
      <c r="H12" s="183"/>
      <c r="I12" s="240"/>
      <c r="K12" s="239"/>
      <c r="L12" s="264"/>
      <c r="M12" s="264"/>
      <c r="N12" s="264"/>
      <c r="O12" s="265" t="s">
        <v>851</v>
      </c>
      <c r="P12"/>
      <c r="Q12" s="266" t="s">
        <v>852</v>
      </c>
      <c r="R12" s="240"/>
    </row>
    <row r="13" spans="1:18" x14ac:dyDescent="0.5">
      <c r="C13" s="239"/>
      <c r="D13" s="44" t="s">
        <v>776</v>
      </c>
      <c r="E13" s="221" t="str">
        <f t="shared" si="0"/>
        <v/>
      </c>
      <c r="G13" s="44"/>
      <c r="H13" s="183"/>
      <c r="I13" s="240"/>
      <c r="K13" s="239"/>
      <c r="L13" s="264"/>
      <c r="M13" s="264"/>
      <c r="N13" s="264"/>
      <c r="O13" s="265" t="s">
        <v>853</v>
      </c>
      <c r="P13"/>
      <c r="Q13" s="266" t="s">
        <v>854</v>
      </c>
      <c r="R13" s="240"/>
    </row>
    <row r="14" spans="1:18" x14ac:dyDescent="0.5">
      <c r="C14" s="239"/>
      <c r="D14" s="44" t="s">
        <v>769</v>
      </c>
      <c r="E14" s="221" t="str">
        <f t="shared" si="0"/>
        <v>1-013</v>
      </c>
      <c r="G14" s="44"/>
      <c r="H14" s="183"/>
      <c r="I14" s="240"/>
      <c r="K14" s="239"/>
      <c r="L14" s="264"/>
      <c r="M14" s="264"/>
      <c r="N14" s="264"/>
      <c r="O14" s="265" t="s">
        <v>855</v>
      </c>
      <c r="P14"/>
      <c r="Q14" s="266" t="s">
        <v>856</v>
      </c>
      <c r="R14" s="240"/>
    </row>
    <row r="15" spans="1:18" x14ac:dyDescent="0.5">
      <c r="C15" s="239"/>
      <c r="D15" s="44" t="s">
        <v>777</v>
      </c>
      <c r="E15" s="221" t="str">
        <f t="shared" si="0"/>
        <v/>
      </c>
      <c r="G15" s="44"/>
      <c r="H15" s="183"/>
      <c r="I15" s="240"/>
      <c r="K15" s="239"/>
      <c r="L15" s="264"/>
      <c r="M15" s="264"/>
      <c r="N15" s="264"/>
      <c r="O15" s="265" t="s">
        <v>857</v>
      </c>
      <c r="P15"/>
      <c r="Q15" s="266" t="s">
        <v>858</v>
      </c>
      <c r="R15" s="240"/>
    </row>
    <row r="16" spans="1:18" x14ac:dyDescent="0.5">
      <c r="C16" s="239"/>
      <c r="D16" s="44" t="s">
        <v>775</v>
      </c>
      <c r="E16" s="221" t="str">
        <f t="shared" si="0"/>
        <v>1-985</v>
      </c>
      <c r="G16" s="44"/>
      <c r="H16" s="183"/>
      <c r="I16" s="240"/>
      <c r="K16" s="239"/>
      <c r="L16" s="264"/>
      <c r="M16" s="264"/>
      <c r="N16" s="264"/>
      <c r="O16" s="265" t="s">
        <v>835</v>
      </c>
      <c r="P16"/>
      <c r="Q16" s="266" t="s">
        <v>859</v>
      </c>
      <c r="R16" s="240"/>
    </row>
    <row r="17" spans="3:18" x14ac:dyDescent="0.5">
      <c r="C17" s="239"/>
      <c r="D17" s="44" t="s">
        <v>780</v>
      </c>
      <c r="E17" s="221" t="str">
        <f t="shared" si="0"/>
        <v/>
      </c>
      <c r="G17" s="44"/>
      <c r="H17" s="183"/>
      <c r="I17" s="240"/>
      <c r="K17" s="239"/>
      <c r="L17"/>
      <c r="M17"/>
      <c r="N17"/>
      <c r="O17"/>
      <c r="P17"/>
      <c r="Q17"/>
      <c r="R17" s="240"/>
    </row>
    <row r="18" spans="3:18" ht="16.149999999999999" thickBot="1" x14ac:dyDescent="0.55000000000000004">
      <c r="C18" s="239"/>
      <c r="D18" s="44" t="s">
        <v>781</v>
      </c>
      <c r="E18" s="221" t="str">
        <f t="shared" si="0"/>
        <v/>
      </c>
      <c r="G18" s="44"/>
      <c r="H18" s="183"/>
      <c r="I18" s="240"/>
      <c r="K18" s="241"/>
      <c r="L18" s="242"/>
      <c r="M18" s="242"/>
      <c r="N18" s="242"/>
      <c r="O18" s="242"/>
      <c r="P18" s="242"/>
      <c r="Q18" s="242"/>
      <c r="R18" s="243"/>
    </row>
    <row r="19" spans="3:18" ht="16.149999999999999" thickTop="1" x14ac:dyDescent="0.5">
      <c r="C19" s="239"/>
      <c r="D19" s="44" t="s">
        <v>771</v>
      </c>
      <c r="E19" s="221" t="str">
        <f t="shared" si="0"/>
        <v>3-056</v>
      </c>
      <c r="G19" s="44"/>
      <c r="H19" s="183"/>
      <c r="I19" s="240"/>
    </row>
    <row r="20" spans="3:18" x14ac:dyDescent="0.5">
      <c r="C20" s="239"/>
      <c r="D20" s="44" t="s">
        <v>773</v>
      </c>
      <c r="E20" s="221" t="str">
        <f t="shared" si="0"/>
        <v/>
      </c>
      <c r="G20" s="44"/>
      <c r="H20" s="183"/>
      <c r="I20" s="240"/>
    </row>
    <row r="21" spans="3:18" x14ac:dyDescent="0.5">
      <c r="C21" s="239"/>
      <c r="D21" s="44" t="s">
        <v>774</v>
      </c>
      <c r="E21" s="221" t="str">
        <f t="shared" si="0"/>
        <v>7-085</v>
      </c>
      <c r="G21" s="44"/>
      <c r="H21" s="183"/>
      <c r="I21" s="240"/>
    </row>
    <row r="22" spans="3:18" x14ac:dyDescent="0.5">
      <c r="C22" s="239"/>
      <c r="D22" s="44" t="s">
        <v>776</v>
      </c>
      <c r="E22" s="221" t="str">
        <f t="shared" si="0"/>
        <v/>
      </c>
      <c r="G22" s="44"/>
      <c r="H22" s="183"/>
      <c r="I22" s="240"/>
    </row>
    <row r="23" spans="3:18" x14ac:dyDescent="0.5">
      <c r="C23" s="239"/>
      <c r="D23" s="44" t="s">
        <v>769</v>
      </c>
      <c r="E23" s="221" t="str">
        <f t="shared" si="0"/>
        <v>1-013</v>
      </c>
      <c r="G23" s="44"/>
      <c r="H23" s="183"/>
      <c r="I23" s="240"/>
    </row>
    <row r="24" spans="3:18" x14ac:dyDescent="0.5">
      <c r="C24" s="239"/>
      <c r="D24" s="44" t="s">
        <v>777</v>
      </c>
      <c r="E24" s="221" t="str">
        <f t="shared" si="0"/>
        <v/>
      </c>
      <c r="G24" s="44"/>
      <c r="H24" s="183"/>
      <c r="I24" s="240"/>
    </row>
    <row r="25" spans="3:18" x14ac:dyDescent="0.5">
      <c r="C25" s="239"/>
      <c r="D25" s="44" t="s">
        <v>775</v>
      </c>
      <c r="E25" s="221" t="str">
        <f t="shared" si="0"/>
        <v>1-985</v>
      </c>
      <c r="G25" s="44"/>
      <c r="H25" s="183"/>
      <c r="I25" s="240"/>
    </row>
    <row r="26" spans="3:18" x14ac:dyDescent="0.5">
      <c r="C26" s="239"/>
      <c r="D26" s="44" t="s">
        <v>782</v>
      </c>
      <c r="E26" s="221" t="str">
        <f t="shared" ref="E26:E34" si="1">IFERROR((INDEX($G$6:$H$28,MATCH(D26,$G$6:$G$28,0),2)),"")</f>
        <v>4-005</v>
      </c>
      <c r="G26" s="44"/>
      <c r="H26" s="183"/>
      <c r="I26" s="240"/>
    </row>
    <row r="27" spans="3:18" x14ac:dyDescent="0.5">
      <c r="C27" s="239"/>
      <c r="D27" s="44" t="s">
        <v>782</v>
      </c>
      <c r="E27" s="221" t="str">
        <f t="shared" si="1"/>
        <v>4-005</v>
      </c>
      <c r="G27" s="44"/>
      <c r="H27" s="183"/>
      <c r="I27" s="240"/>
    </row>
    <row r="28" spans="3:18" x14ac:dyDescent="0.5">
      <c r="C28" s="239"/>
      <c r="D28" s="44"/>
      <c r="E28" s="221" t="str">
        <f t="shared" si="1"/>
        <v/>
      </c>
      <c r="G28" s="46"/>
      <c r="H28" s="184"/>
      <c r="I28" s="240"/>
    </row>
    <row r="29" spans="3:18" x14ac:dyDescent="0.5">
      <c r="C29" s="239"/>
      <c r="D29" s="44"/>
      <c r="E29" s="221" t="str">
        <f t="shared" si="1"/>
        <v/>
      </c>
      <c r="I29" s="240"/>
    </row>
    <row r="30" spans="3:18" x14ac:dyDescent="0.5">
      <c r="C30" s="239"/>
      <c r="D30" s="44"/>
      <c r="E30" s="221" t="str">
        <f t="shared" si="1"/>
        <v/>
      </c>
      <c r="I30" s="240"/>
    </row>
    <row r="31" spans="3:18" x14ac:dyDescent="0.5">
      <c r="C31" s="239"/>
      <c r="D31" s="44"/>
      <c r="E31" s="221" t="str">
        <f t="shared" si="1"/>
        <v/>
      </c>
      <c r="I31" s="240"/>
    </row>
    <row r="32" spans="3:18" x14ac:dyDescent="0.5">
      <c r="C32" s="239"/>
      <c r="D32" s="44"/>
      <c r="E32" s="221" t="str">
        <f t="shared" si="1"/>
        <v/>
      </c>
      <c r="I32" s="240"/>
    </row>
    <row r="33" spans="3:9" x14ac:dyDescent="0.5">
      <c r="C33" s="239"/>
      <c r="D33" s="44"/>
      <c r="E33" s="221" t="str">
        <f t="shared" si="1"/>
        <v/>
      </c>
      <c r="I33" s="240"/>
    </row>
    <row r="34" spans="3:9" x14ac:dyDescent="0.5">
      <c r="C34" s="239"/>
      <c r="D34" s="46"/>
      <c r="E34" s="222" t="str">
        <f t="shared" si="1"/>
        <v/>
      </c>
      <c r="I34" s="240"/>
    </row>
    <row r="35" spans="3:9" x14ac:dyDescent="0.5">
      <c r="C35" s="239"/>
      <c r="I35" s="240"/>
    </row>
    <row r="36" spans="3:9" ht="16.149999999999999" thickBot="1" x14ac:dyDescent="0.55000000000000004">
      <c r="C36" s="241"/>
      <c r="D36" s="242"/>
      <c r="E36" s="242"/>
      <c r="F36" s="242"/>
      <c r="G36" s="242"/>
      <c r="H36" s="242"/>
      <c r="I36" s="243"/>
    </row>
    <row r="37" spans="3:9" ht="16.149999999999999" thickTop="1" x14ac:dyDescent="0.5"/>
  </sheetData>
  <pageMargins left="0.7" right="0.7" top="0.75" bottom="0.75" header="0.3" footer="0.3"/>
  <pageSetup orientation="portrait" horizontalDpi="4294967295" verticalDpi="4294967295" r:id="rId1"/>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tabColor theme="4" tint="0.79998168889431442"/>
  </sheetPr>
  <dimension ref="A1:H39"/>
  <sheetViews>
    <sheetView topLeftCell="A12" workbookViewId="0"/>
  </sheetViews>
  <sheetFormatPr defaultColWidth="9.1328125" defaultRowHeight="15.75" x14ac:dyDescent="0.5"/>
  <cols>
    <col min="1" max="2" width="16.73046875" style="3" customWidth="1"/>
    <col min="3" max="3" width="9.1328125" style="3" customWidth="1"/>
    <col min="4" max="4" width="22" style="3" bestFit="1" customWidth="1"/>
    <col min="5" max="5" width="24.3984375" style="3" bestFit="1" customWidth="1"/>
    <col min="6" max="6" width="26" style="3" bestFit="1" customWidth="1"/>
    <col min="7" max="7" width="38.265625" style="3" bestFit="1" customWidth="1"/>
    <col min="8" max="16384" width="9.1328125" style="3"/>
  </cols>
  <sheetData>
    <row r="1" spans="1:8" ht="23.65" thickBot="1" x14ac:dyDescent="0.75">
      <c r="A1" s="272" t="s">
        <v>932</v>
      </c>
      <c r="B1" s="272"/>
      <c r="C1" s="272"/>
    </row>
    <row r="2" spans="1:8" ht="16.149999999999999" thickTop="1" x14ac:dyDescent="0.5">
      <c r="A2" s="278"/>
      <c r="B2" s="278"/>
      <c r="C2" s="308" t="s">
        <v>1010</v>
      </c>
      <c r="D2" s="237"/>
      <c r="E2" s="237"/>
      <c r="F2" s="237"/>
      <c r="G2" s="237"/>
      <c r="H2" s="238"/>
    </row>
    <row r="3" spans="1:8" x14ac:dyDescent="0.5">
      <c r="C3" s="239"/>
      <c r="H3" s="240"/>
    </row>
    <row r="4" spans="1:8" x14ac:dyDescent="0.5">
      <c r="C4" s="239"/>
      <c r="D4" s="299" t="s">
        <v>606</v>
      </c>
      <c r="E4" s="299" t="s">
        <v>933</v>
      </c>
      <c r="F4" s="300" t="s">
        <v>626</v>
      </c>
      <c r="G4" s="301" t="s">
        <v>934</v>
      </c>
      <c r="H4" s="240"/>
    </row>
    <row r="5" spans="1:8" x14ac:dyDescent="0.5">
      <c r="C5" s="239"/>
      <c r="D5" s="293">
        <v>43435</v>
      </c>
      <c r="E5" s="266" t="str">
        <f>TEXT(D5,"d")</f>
        <v>1</v>
      </c>
      <c r="F5" s="273" t="s">
        <v>935</v>
      </c>
      <c r="G5" s="294" t="s">
        <v>936</v>
      </c>
      <c r="H5" s="240"/>
    </row>
    <row r="6" spans="1:8" x14ac:dyDescent="0.5">
      <c r="C6" s="239"/>
      <c r="D6" s="293">
        <v>43436</v>
      </c>
      <c r="E6" s="266" t="str">
        <f>TEXT(D6,"dd")</f>
        <v>02</v>
      </c>
      <c r="F6" s="273" t="s">
        <v>937</v>
      </c>
      <c r="G6" s="294" t="s">
        <v>938</v>
      </c>
      <c r="H6" s="240"/>
    </row>
    <row r="7" spans="1:8" x14ac:dyDescent="0.5">
      <c r="C7" s="239"/>
      <c r="D7" s="293">
        <v>43437</v>
      </c>
      <c r="E7" s="266" t="str">
        <f>TEXT(D7,"ddd")</f>
        <v>Mon</v>
      </c>
      <c r="F7" s="273" t="s">
        <v>939</v>
      </c>
      <c r="G7" s="294" t="s">
        <v>940</v>
      </c>
      <c r="H7" s="240"/>
    </row>
    <row r="8" spans="1:8" x14ac:dyDescent="0.5">
      <c r="C8" s="239"/>
      <c r="D8" s="293">
        <v>43438</v>
      </c>
      <c r="E8" s="266" t="str">
        <f>TEXT(D8,"dddd")</f>
        <v>Tuesday</v>
      </c>
      <c r="F8" s="273" t="s">
        <v>941</v>
      </c>
      <c r="G8" s="294" t="s">
        <v>942</v>
      </c>
      <c r="H8" s="240"/>
    </row>
    <row r="9" spans="1:8" x14ac:dyDescent="0.5">
      <c r="C9" s="239"/>
      <c r="D9" s="293"/>
      <c r="E9" s="266"/>
      <c r="F9" s="273"/>
      <c r="G9" s="294"/>
      <c r="H9" s="240"/>
    </row>
    <row r="10" spans="1:8" x14ac:dyDescent="0.5">
      <c r="C10" s="239"/>
      <c r="D10" s="293">
        <v>43435</v>
      </c>
      <c r="E10" s="266" t="str">
        <f>TEXT(D10,"m")</f>
        <v>12</v>
      </c>
      <c r="F10" s="273" t="s">
        <v>943</v>
      </c>
      <c r="G10" s="294" t="s">
        <v>944</v>
      </c>
      <c r="H10" s="240"/>
    </row>
    <row r="11" spans="1:8" x14ac:dyDescent="0.5">
      <c r="C11" s="239"/>
      <c r="D11" s="293">
        <v>43436</v>
      </c>
      <c r="E11" s="266" t="str">
        <f>TEXT(D11,"mm")</f>
        <v>12</v>
      </c>
      <c r="F11" s="273" t="s">
        <v>945</v>
      </c>
      <c r="G11" s="294" t="s">
        <v>946</v>
      </c>
      <c r="H11" s="240"/>
    </row>
    <row r="12" spans="1:8" x14ac:dyDescent="0.5">
      <c r="C12" s="239"/>
      <c r="D12" s="293">
        <v>43437</v>
      </c>
      <c r="E12" s="266" t="str">
        <f>TEXT(D12,"mmm")</f>
        <v>Dec</v>
      </c>
      <c r="F12" s="273" t="s">
        <v>947</v>
      </c>
      <c r="G12" s="294" t="s">
        <v>948</v>
      </c>
      <c r="H12" s="240"/>
    </row>
    <row r="13" spans="1:8" x14ac:dyDescent="0.5">
      <c r="C13" s="239"/>
      <c r="D13" s="293">
        <v>43438</v>
      </c>
      <c r="E13" s="266" t="str">
        <f>TEXT(D13,"mmmm")</f>
        <v>December</v>
      </c>
      <c r="F13" s="273" t="s">
        <v>949</v>
      </c>
      <c r="G13" s="294" t="s">
        <v>950</v>
      </c>
      <c r="H13" s="240"/>
    </row>
    <row r="14" spans="1:8" x14ac:dyDescent="0.5">
      <c r="C14" s="239"/>
      <c r="D14" s="293">
        <v>43439</v>
      </c>
      <c r="E14" s="266" t="str">
        <f>TEXT(D14,"mmmmm")</f>
        <v>D</v>
      </c>
      <c r="F14" s="273" t="s">
        <v>951</v>
      </c>
      <c r="G14" s="294" t="s">
        <v>952</v>
      </c>
      <c r="H14" s="240"/>
    </row>
    <row r="15" spans="1:8" x14ac:dyDescent="0.5">
      <c r="C15" s="239"/>
      <c r="D15" s="293"/>
      <c r="E15" s="266"/>
      <c r="F15" s="274"/>
      <c r="G15" s="294"/>
      <c r="H15" s="240"/>
    </row>
    <row r="16" spans="1:8" x14ac:dyDescent="0.5">
      <c r="C16" s="239"/>
      <c r="D16" s="293">
        <v>43435</v>
      </c>
      <c r="E16" s="266" t="str">
        <f>TEXT(D16,"yy")</f>
        <v>18</v>
      </c>
      <c r="F16" s="273" t="s">
        <v>953</v>
      </c>
      <c r="G16" s="294" t="s">
        <v>954</v>
      </c>
      <c r="H16" s="240"/>
    </row>
    <row r="17" spans="3:8" x14ac:dyDescent="0.5">
      <c r="C17" s="239"/>
      <c r="D17" s="295">
        <v>43436</v>
      </c>
      <c r="E17" s="296" t="str">
        <f>TEXT(D17,"yyyy")</f>
        <v>2018</v>
      </c>
      <c r="F17" s="297" t="s">
        <v>955</v>
      </c>
      <c r="G17" s="298" t="s">
        <v>956</v>
      </c>
      <c r="H17" s="240"/>
    </row>
    <row r="18" spans="3:8" x14ac:dyDescent="0.5">
      <c r="C18" s="239"/>
      <c r="D18" s="303"/>
      <c r="E18" s="266"/>
      <c r="F18" s="273"/>
      <c r="G18" s="264"/>
      <c r="H18" s="240"/>
    </row>
    <row r="19" spans="3:8" ht="16.149999999999999" thickBot="1" x14ac:dyDescent="0.55000000000000004">
      <c r="C19" s="241"/>
      <c r="D19" s="304"/>
      <c r="E19" s="305"/>
      <c r="F19" s="306"/>
      <c r="G19" s="307"/>
      <c r="H19" s="243"/>
    </row>
    <row r="20" spans="3:8" ht="16.149999999999999" thickTop="1" x14ac:dyDescent="0.5"/>
    <row r="21" spans="3:8" ht="16.149999999999999" thickBot="1" x14ac:dyDescent="0.55000000000000004"/>
    <row r="22" spans="3:8" ht="16.149999999999999" thickTop="1" x14ac:dyDescent="0.5">
      <c r="C22" s="248" t="s">
        <v>1011</v>
      </c>
      <c r="D22" s="237"/>
      <c r="E22" s="237"/>
      <c r="F22" s="237"/>
      <c r="G22" s="237"/>
      <c r="H22" s="238"/>
    </row>
    <row r="23" spans="3:8" x14ac:dyDescent="0.5">
      <c r="C23" s="239"/>
      <c r="H23" s="240"/>
    </row>
    <row r="24" spans="3:8" x14ac:dyDescent="0.5">
      <c r="C24" s="239"/>
      <c r="D24" s="299" t="s">
        <v>957</v>
      </c>
      <c r="E24" s="299" t="s">
        <v>958</v>
      </c>
      <c r="F24" s="299" t="s">
        <v>959</v>
      </c>
      <c r="G24" s="299" t="s">
        <v>960</v>
      </c>
      <c r="H24" s="240"/>
    </row>
    <row r="25" spans="3:8" x14ac:dyDescent="0.5">
      <c r="C25" s="239"/>
      <c r="D25" s="312"/>
      <c r="E25" s="302" t="s">
        <v>961</v>
      </c>
      <c r="F25" s="302" t="s">
        <v>962</v>
      </c>
      <c r="G25" s="302" t="s">
        <v>963</v>
      </c>
      <c r="H25" s="240"/>
    </row>
    <row r="26" spans="3:8" x14ac:dyDescent="0.5">
      <c r="C26" s="239"/>
      <c r="D26" s="313" t="s">
        <v>964</v>
      </c>
      <c r="E26" s="264"/>
      <c r="F26" s="264"/>
      <c r="G26" s="309"/>
      <c r="H26" s="240"/>
    </row>
    <row r="27" spans="3:8" x14ac:dyDescent="0.5">
      <c r="C27" s="239"/>
      <c r="D27" s="312" t="s">
        <v>965</v>
      </c>
      <c r="E27" s="275" t="str">
        <f>LEFT(E25,3)</f>
        <v>C:\</v>
      </c>
      <c r="F27" s="276" t="str">
        <f>LEFT(F25,3)</f>
        <v>may</v>
      </c>
      <c r="G27" s="310" t="str">
        <f>LEFT(G25,3)</f>
        <v>jOH</v>
      </c>
      <c r="H27" s="240"/>
    </row>
    <row r="28" spans="3:8" x14ac:dyDescent="0.5">
      <c r="C28" s="239"/>
      <c r="D28" s="314" t="s">
        <v>966</v>
      </c>
      <c r="E28" s="277" t="str">
        <f>MID(E25,4,5)</f>
        <v>EXCEL</v>
      </c>
      <c r="F28" s="266" t="str">
        <f>MID(F25,4,5)</f>
        <v xml:space="preserve"> expe</v>
      </c>
      <c r="G28" s="311" t="str">
        <f>MID(G25,4,5)</f>
        <v>N rEB</v>
      </c>
      <c r="H28" s="240"/>
    </row>
    <row r="29" spans="3:8" x14ac:dyDescent="0.5">
      <c r="C29" s="239"/>
      <c r="D29" s="314" t="s">
        <v>967</v>
      </c>
      <c r="E29" s="277" t="str">
        <f>RIGHT(E25,8)</f>
        <v>TEXT.XLS</v>
      </c>
      <c r="F29" s="266" t="str">
        <f>RIGHT(F25,8)</f>
        <v>expenses</v>
      </c>
      <c r="G29" s="311" t="str">
        <f>RIGHT(G25,8)</f>
        <v>HN rEBEL</v>
      </c>
      <c r="H29" s="240"/>
    </row>
    <row r="30" spans="3:8" x14ac:dyDescent="0.5">
      <c r="C30" s="239"/>
      <c r="D30" s="314" t="s">
        <v>968</v>
      </c>
      <c r="E30" s="277" t="str">
        <f>LOWER(E25)</f>
        <v>c:\excel\text.xls</v>
      </c>
      <c r="F30" s="266" t="str">
        <f>LOWER(F25)</f>
        <v>may expenses</v>
      </c>
      <c r="G30" s="311" t="str">
        <f>LOWER(G25)</f>
        <v>john rebel</v>
      </c>
      <c r="H30" s="240"/>
    </row>
    <row r="31" spans="3:8" x14ac:dyDescent="0.5">
      <c r="C31" s="239"/>
      <c r="D31" s="314" t="s">
        <v>969</v>
      </c>
      <c r="E31" s="277" t="str">
        <f>UPPER(E25)</f>
        <v>C:\EXCEL\TEXT.XLS</v>
      </c>
      <c r="F31" s="266" t="str">
        <f>UPPER(F25)</f>
        <v>MAY EXPENSES</v>
      </c>
      <c r="G31" s="311" t="str">
        <f>UPPER(G25)</f>
        <v>JOHN REBEL</v>
      </c>
      <c r="H31" s="240"/>
    </row>
    <row r="32" spans="3:8" x14ac:dyDescent="0.5">
      <c r="C32" s="239"/>
      <c r="D32" s="314" t="s">
        <v>970</v>
      </c>
      <c r="E32" s="277" t="str">
        <f>PROPER(E25)</f>
        <v>C:\Excel\Text.Xls</v>
      </c>
      <c r="F32" s="266" t="str">
        <f>PROPER(F25)</f>
        <v>May Expenses</v>
      </c>
      <c r="G32" s="311" t="str">
        <f>PROPER(G25)</f>
        <v>John Rebel</v>
      </c>
      <c r="H32" s="240"/>
    </row>
    <row r="33" spans="3:8" x14ac:dyDescent="0.5">
      <c r="C33" s="239"/>
      <c r="D33" s="314" t="s">
        <v>971</v>
      </c>
      <c r="E33" s="277">
        <f>FIND("E",E25)</f>
        <v>4</v>
      </c>
      <c r="F33" s="266" t="e">
        <f>FIND("E",F25)</f>
        <v>#VALUE!</v>
      </c>
      <c r="G33" s="311">
        <f>FIND("E",G25)</f>
        <v>7</v>
      </c>
      <c r="H33" s="240"/>
    </row>
    <row r="34" spans="3:8" x14ac:dyDescent="0.5">
      <c r="C34" s="239"/>
      <c r="D34" s="314" t="s">
        <v>972</v>
      </c>
      <c r="E34" s="277" t="e">
        <f>FIND("e",E25)</f>
        <v>#VALUE!</v>
      </c>
      <c r="F34" s="266">
        <f>FIND("e",F25)</f>
        <v>5</v>
      </c>
      <c r="G34" s="311" t="e">
        <f>FIND("e",G25)</f>
        <v>#VALUE!</v>
      </c>
      <c r="H34" s="240"/>
    </row>
    <row r="35" spans="3:8" x14ac:dyDescent="0.5">
      <c r="C35" s="239"/>
      <c r="D35" s="314" t="s">
        <v>973</v>
      </c>
      <c r="E35" s="277">
        <f>SEARCH("E",E25)</f>
        <v>4</v>
      </c>
      <c r="F35" s="266">
        <f>SEARCH("E",F25)</f>
        <v>5</v>
      </c>
      <c r="G35" s="311">
        <f>SEARCH("E",G25)</f>
        <v>7</v>
      </c>
      <c r="H35" s="240"/>
    </row>
    <row r="36" spans="3:8" x14ac:dyDescent="0.5">
      <c r="C36" s="239"/>
      <c r="D36" s="315" t="s">
        <v>974</v>
      </c>
      <c r="E36" s="316">
        <f>LEN(E25)</f>
        <v>17</v>
      </c>
      <c r="F36" s="296">
        <f>LEN(F25)</f>
        <v>12</v>
      </c>
      <c r="G36" s="317">
        <f>LEN(G25)</f>
        <v>10</v>
      </c>
      <c r="H36" s="240"/>
    </row>
    <row r="37" spans="3:8" x14ac:dyDescent="0.5">
      <c r="C37" s="239"/>
      <c r="H37" s="240"/>
    </row>
    <row r="38" spans="3:8" ht="16.149999999999999" thickBot="1" x14ac:dyDescent="0.55000000000000004">
      <c r="C38" s="241"/>
      <c r="D38" s="242"/>
      <c r="E38" s="242"/>
      <c r="F38" s="242"/>
      <c r="G38" s="242"/>
      <c r="H38" s="243"/>
    </row>
    <row r="39" spans="3:8" ht="16.149999999999999" thickTop="1" x14ac:dyDescent="0.5"/>
  </sheetData>
  <pageMargins left="0.7" right="0.7" top="0.75" bottom="0.75" header="0.3" footer="0.3"/>
  <legacyDrawing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tabColor theme="4" tint="0.79998168889431442"/>
  </sheetPr>
  <dimension ref="A1:M32"/>
  <sheetViews>
    <sheetView workbookViewId="0">
      <selection activeCell="C22" sqref="C22"/>
    </sheetView>
  </sheetViews>
  <sheetFormatPr defaultColWidth="9.1328125" defaultRowHeight="15.75" x14ac:dyDescent="0.5"/>
  <cols>
    <col min="1" max="2" width="9.1328125" style="3"/>
    <col min="3" max="3" width="24.73046875" style="3" customWidth="1"/>
    <col min="4" max="4" width="15.73046875" style="3" customWidth="1"/>
    <col min="5" max="7" width="9.1328125" style="3"/>
    <col min="8" max="8" width="20.59765625" style="3" bestFit="1" customWidth="1"/>
    <col min="9" max="9" width="26.73046875" style="3" bestFit="1" customWidth="1"/>
    <col min="10" max="10" width="19.86328125" style="3" bestFit="1" customWidth="1"/>
    <col min="11" max="11" width="36.265625" style="3" bestFit="1" customWidth="1"/>
    <col min="12" max="12" width="24.73046875" style="3" customWidth="1"/>
    <col min="13" max="16384" width="9.1328125" style="3"/>
  </cols>
  <sheetData>
    <row r="1" spans="1:13" ht="23.25" x14ac:dyDescent="0.7">
      <c r="A1" s="1" t="s">
        <v>1007</v>
      </c>
    </row>
    <row r="2" spans="1:13" ht="23.65" thickBot="1" x14ac:dyDescent="0.75">
      <c r="A2" s="1"/>
    </row>
    <row r="3" spans="1:13" ht="16.149999999999999" thickTop="1" x14ac:dyDescent="0.5">
      <c r="B3" s="248" t="s">
        <v>978</v>
      </c>
      <c r="C3" s="237"/>
      <c r="D3" s="237"/>
      <c r="E3" s="238"/>
      <c r="H3" s="248" t="s">
        <v>992</v>
      </c>
      <c r="I3" s="237"/>
      <c r="J3" s="237"/>
      <c r="K3" s="237"/>
      <c r="L3" s="237"/>
      <c r="M3" s="238"/>
    </row>
    <row r="4" spans="1:13" x14ac:dyDescent="0.5">
      <c r="B4" s="239"/>
      <c r="E4" s="240"/>
      <c r="H4" s="239"/>
      <c r="M4" s="240"/>
    </row>
    <row r="5" spans="1:13" x14ac:dyDescent="0.5">
      <c r="B5" s="239"/>
      <c r="C5" s="19" t="s">
        <v>911</v>
      </c>
      <c r="D5" s="279" t="s">
        <v>975</v>
      </c>
      <c r="E5" s="240"/>
      <c r="H5" s="239"/>
      <c r="I5"/>
      <c r="J5" s="292" t="s">
        <v>979</v>
      </c>
      <c r="K5" s="19" t="s">
        <v>980</v>
      </c>
      <c r="L5" s="234" t="s">
        <v>981</v>
      </c>
      <c r="M5" s="240"/>
    </row>
    <row r="6" spans="1:13" x14ac:dyDescent="0.5">
      <c r="B6" s="239"/>
      <c r="C6" s="215" t="s">
        <v>1309</v>
      </c>
      <c r="D6" s="287" t="str">
        <f>IF(ISNUMBER(SEARCH($D$29,C6)),C6,"")</f>
        <v/>
      </c>
      <c r="E6" s="240"/>
      <c r="H6" s="239"/>
      <c r="I6" s="280" t="s">
        <v>982</v>
      </c>
      <c r="J6" s="281" t="s">
        <v>983</v>
      </c>
      <c r="K6" s="282" t="s">
        <v>984</v>
      </c>
      <c r="L6" s="285" t="str">
        <f>IF(J6="BLUE", "Good", "Not Yet")</f>
        <v>Good</v>
      </c>
      <c r="M6" s="240"/>
    </row>
    <row r="7" spans="1:13" x14ac:dyDescent="0.5">
      <c r="B7" s="239"/>
      <c r="C7" s="44" t="s">
        <v>915</v>
      </c>
      <c r="D7" s="288" t="str">
        <f t="shared" ref="D7:D26" si="0">IF(ISNUMBER(SEARCH($D$29,C7)),C7,"")</f>
        <v/>
      </c>
      <c r="E7" s="240"/>
      <c r="H7" s="239"/>
      <c r="I7" s="280" t="s">
        <v>985</v>
      </c>
      <c r="J7" s="281" t="s">
        <v>986</v>
      </c>
      <c r="K7" s="282" t="s">
        <v>987</v>
      </c>
      <c r="L7" s="285" t="str">
        <f>IF(J7&lt;&gt;"BLUE","Not", "Is Equal")</f>
        <v>Not</v>
      </c>
      <c r="M7" s="240"/>
    </row>
    <row r="8" spans="1:13" x14ac:dyDescent="0.5">
      <c r="B8" s="239"/>
      <c r="C8" s="44" t="s">
        <v>916</v>
      </c>
      <c r="D8" s="288" t="str">
        <f t="shared" si="0"/>
        <v/>
      </c>
      <c r="E8" s="240"/>
      <c r="H8" s="239"/>
      <c r="I8" s="280" t="s">
        <v>988</v>
      </c>
      <c r="J8" s="281">
        <v>69</v>
      </c>
      <c r="K8" s="282" t="s">
        <v>989</v>
      </c>
      <c r="L8" s="285" t="str">
        <f>IF(J8&gt;69, "Passing","Not Passing")</f>
        <v>Not Passing</v>
      </c>
      <c r="M8" s="240"/>
    </row>
    <row r="9" spans="1:13" x14ac:dyDescent="0.5">
      <c r="B9" s="239"/>
      <c r="C9" s="44" t="s">
        <v>917</v>
      </c>
      <c r="D9" s="288" t="str">
        <f t="shared" si="0"/>
        <v/>
      </c>
      <c r="E9" s="240"/>
      <c r="H9" s="239"/>
      <c r="I9" s="280" t="s">
        <v>990</v>
      </c>
      <c r="J9" s="281">
        <v>70</v>
      </c>
      <c r="K9" s="282" t="s">
        <v>991</v>
      </c>
      <c r="L9" s="286" t="str">
        <f>IF(J9&gt;=70, "Passing","Not Passing")</f>
        <v>Passing</v>
      </c>
      <c r="M9" s="240"/>
    </row>
    <row r="10" spans="1:13" x14ac:dyDescent="0.5">
      <c r="B10" s="239"/>
      <c r="C10" s="44" t="s">
        <v>1310</v>
      </c>
      <c r="D10" s="288" t="str">
        <f t="shared" si="0"/>
        <v/>
      </c>
      <c r="E10" s="240"/>
      <c r="H10" s="239"/>
      <c r="M10" s="240"/>
    </row>
    <row r="11" spans="1:13" ht="16.149999999999999" thickBot="1" x14ac:dyDescent="0.55000000000000004">
      <c r="B11" s="239"/>
      <c r="C11" s="44" t="s">
        <v>918</v>
      </c>
      <c r="D11" s="288" t="str">
        <f t="shared" si="0"/>
        <v/>
      </c>
      <c r="E11" s="240"/>
      <c r="H11" s="241"/>
      <c r="I11" s="242"/>
      <c r="J11" s="242"/>
      <c r="K11" s="242"/>
      <c r="L11" s="242"/>
      <c r="M11" s="243"/>
    </row>
    <row r="12" spans="1:13" ht="16.149999999999999" thickTop="1" x14ac:dyDescent="0.5">
      <c r="B12" s="239"/>
      <c r="C12" s="44" t="s">
        <v>919</v>
      </c>
      <c r="D12" s="288" t="str">
        <f t="shared" si="0"/>
        <v/>
      </c>
      <c r="E12" s="240"/>
    </row>
    <row r="13" spans="1:13" x14ac:dyDescent="0.5">
      <c r="B13" s="239"/>
      <c r="C13" s="44" t="s">
        <v>920</v>
      </c>
      <c r="D13" s="288" t="str">
        <f t="shared" si="0"/>
        <v>Brian Brazil</v>
      </c>
      <c r="E13" s="240"/>
    </row>
    <row r="14" spans="1:13" ht="16.149999999999999" thickBot="1" x14ac:dyDescent="0.55000000000000004">
      <c r="B14" s="239"/>
      <c r="C14" s="44" t="s">
        <v>921</v>
      </c>
      <c r="D14" s="288" t="str">
        <f t="shared" si="0"/>
        <v/>
      </c>
      <c r="E14" s="240"/>
    </row>
    <row r="15" spans="1:13" ht="16.149999999999999" thickTop="1" x14ac:dyDescent="0.5">
      <c r="B15" s="239"/>
      <c r="C15" s="44" t="s">
        <v>922</v>
      </c>
      <c r="D15" s="288" t="str">
        <f t="shared" si="0"/>
        <v/>
      </c>
      <c r="E15" s="240"/>
      <c r="G15" s="248" t="s">
        <v>1006</v>
      </c>
      <c r="H15" s="237"/>
      <c r="I15" s="237"/>
      <c r="J15" s="237"/>
      <c r="K15" s="237"/>
      <c r="L15" s="237"/>
      <c r="M15" s="238"/>
    </row>
    <row r="16" spans="1:13" x14ac:dyDescent="0.5">
      <c r="B16" s="239"/>
      <c r="C16" s="44" t="s">
        <v>923</v>
      </c>
      <c r="D16" s="288" t="str">
        <f t="shared" si="0"/>
        <v/>
      </c>
      <c r="E16" s="240"/>
      <c r="G16" s="239"/>
      <c r="M16" s="240"/>
    </row>
    <row r="17" spans="2:13" ht="18" x14ac:dyDescent="0.55000000000000004">
      <c r="B17" s="239"/>
      <c r="C17" s="44" t="s">
        <v>924</v>
      </c>
      <c r="D17" s="288" t="str">
        <f t="shared" si="0"/>
        <v/>
      </c>
      <c r="E17" s="240"/>
      <c r="G17" s="239"/>
      <c r="H17" s="36"/>
      <c r="I17" s="292" t="s">
        <v>993</v>
      </c>
      <c r="J17" s="234" t="s">
        <v>994</v>
      </c>
      <c r="K17" s="234" t="s">
        <v>995</v>
      </c>
      <c r="L17" s="234" t="s">
        <v>1008</v>
      </c>
      <c r="M17" s="240"/>
    </row>
    <row r="18" spans="2:13" ht="18" x14ac:dyDescent="0.55000000000000004">
      <c r="B18" s="239"/>
      <c r="C18" s="44" t="s">
        <v>925</v>
      </c>
      <c r="D18" s="288" t="str">
        <f t="shared" si="0"/>
        <v/>
      </c>
      <c r="E18" s="240"/>
      <c r="G18" s="239"/>
      <c r="H18" s="36" t="s">
        <v>996</v>
      </c>
      <c r="I18" s="283">
        <v>87</v>
      </c>
      <c r="J18" s="284">
        <v>95</v>
      </c>
      <c r="K18" s="284">
        <v>91</v>
      </c>
      <c r="L18" s="290" t="str">
        <f>IF(AND(I18&gt;80,J18&gt;80,K18&gt;80),"GOOD STUDENT","NEEDS HELP")</f>
        <v>GOOD STUDENT</v>
      </c>
      <c r="M18" s="240"/>
    </row>
    <row r="19" spans="2:13" ht="18" x14ac:dyDescent="0.55000000000000004">
      <c r="B19" s="239"/>
      <c r="C19" s="44" t="s">
        <v>926</v>
      </c>
      <c r="D19" s="288" t="str">
        <f t="shared" si="0"/>
        <v/>
      </c>
      <c r="E19" s="240"/>
      <c r="G19" s="239"/>
      <c r="H19" s="36" t="s">
        <v>997</v>
      </c>
      <c r="I19" s="283">
        <v>90</v>
      </c>
      <c r="J19" s="284">
        <v>88</v>
      </c>
      <c r="K19" s="284">
        <v>89</v>
      </c>
      <c r="L19" s="290" t="str">
        <f t="shared" ref="L19:L27" si="1">IF(AND(I19&gt;80,J19&gt;80,K19&gt;80),"GOOD STUDENT","NEEDS HELP")</f>
        <v>GOOD STUDENT</v>
      </c>
      <c r="M19" s="240"/>
    </row>
    <row r="20" spans="2:13" ht="18" x14ac:dyDescent="0.55000000000000004">
      <c r="B20" s="239"/>
      <c r="C20" s="44" t="s">
        <v>927</v>
      </c>
      <c r="D20" s="288" t="str">
        <f t="shared" si="0"/>
        <v/>
      </c>
      <c r="E20" s="240"/>
      <c r="G20" s="239"/>
      <c r="H20" s="36" t="s">
        <v>998</v>
      </c>
      <c r="I20" s="283">
        <v>45</v>
      </c>
      <c r="J20" s="284">
        <v>78</v>
      </c>
      <c r="K20" s="284">
        <v>68</v>
      </c>
      <c r="L20" s="290" t="str">
        <f t="shared" si="1"/>
        <v>NEEDS HELP</v>
      </c>
      <c r="M20" s="240"/>
    </row>
    <row r="21" spans="2:13" ht="18" x14ac:dyDescent="0.55000000000000004">
      <c r="B21" s="239"/>
      <c r="C21" s="44" t="s">
        <v>1311</v>
      </c>
      <c r="D21" s="288" t="str">
        <f t="shared" si="0"/>
        <v/>
      </c>
      <c r="E21" s="240"/>
      <c r="G21" s="239"/>
      <c r="H21" s="36" t="s">
        <v>999</v>
      </c>
      <c r="I21" s="283">
        <v>62</v>
      </c>
      <c r="J21" s="284">
        <v>91</v>
      </c>
      <c r="K21" s="284">
        <v>55</v>
      </c>
      <c r="L21" s="290" t="str">
        <f t="shared" si="1"/>
        <v>NEEDS HELP</v>
      </c>
      <c r="M21" s="240"/>
    </row>
    <row r="22" spans="2:13" ht="18" x14ac:dyDescent="0.55000000000000004">
      <c r="B22" s="239"/>
      <c r="C22" s="44" t="s">
        <v>928</v>
      </c>
      <c r="D22" s="288" t="str">
        <f t="shared" si="0"/>
        <v/>
      </c>
      <c r="E22" s="240"/>
      <c r="G22" s="239"/>
      <c r="H22" s="36" t="s">
        <v>1000</v>
      </c>
      <c r="I22" s="283">
        <v>81</v>
      </c>
      <c r="J22" s="284">
        <v>89</v>
      </c>
      <c r="K22" s="284">
        <v>84</v>
      </c>
      <c r="L22" s="290" t="str">
        <f t="shared" si="1"/>
        <v>GOOD STUDENT</v>
      </c>
      <c r="M22" s="240"/>
    </row>
    <row r="23" spans="2:13" ht="18" x14ac:dyDescent="0.55000000000000004">
      <c r="B23" s="239"/>
      <c r="C23" s="44" t="s">
        <v>929</v>
      </c>
      <c r="D23" s="288" t="str">
        <f t="shared" si="0"/>
        <v/>
      </c>
      <c r="E23" s="240"/>
      <c r="G23" s="239"/>
      <c r="H23" s="36" t="s">
        <v>1001</v>
      </c>
      <c r="I23" s="283">
        <v>91</v>
      </c>
      <c r="J23" s="284">
        <v>88</v>
      </c>
      <c r="K23" s="284">
        <v>87</v>
      </c>
      <c r="L23" s="290" t="str">
        <f t="shared" si="1"/>
        <v>GOOD STUDENT</v>
      </c>
      <c r="M23" s="240"/>
    </row>
    <row r="24" spans="2:13" ht="18" x14ac:dyDescent="0.55000000000000004">
      <c r="B24" s="239"/>
      <c r="C24" s="44" t="s">
        <v>930</v>
      </c>
      <c r="D24" s="288" t="str">
        <f t="shared" si="0"/>
        <v/>
      </c>
      <c r="E24" s="240"/>
      <c r="G24" s="239"/>
      <c r="H24" s="36" t="s">
        <v>1002</v>
      </c>
      <c r="I24" s="283">
        <v>89</v>
      </c>
      <c r="J24" s="284">
        <v>95</v>
      </c>
      <c r="K24" s="284">
        <v>90</v>
      </c>
      <c r="L24" s="290" t="str">
        <f t="shared" si="1"/>
        <v>GOOD STUDENT</v>
      </c>
      <c r="M24" s="240"/>
    </row>
    <row r="25" spans="2:13" ht="18" x14ac:dyDescent="0.55000000000000004">
      <c r="B25" s="239"/>
      <c r="C25" s="44" t="s">
        <v>931</v>
      </c>
      <c r="D25" s="288" t="str">
        <f t="shared" si="0"/>
        <v/>
      </c>
      <c r="E25" s="240"/>
      <c r="G25" s="239"/>
      <c r="H25" s="36" t="s">
        <v>1003</v>
      </c>
      <c r="I25" s="283">
        <v>68</v>
      </c>
      <c r="J25" s="284">
        <v>84</v>
      </c>
      <c r="K25" s="284">
        <v>45</v>
      </c>
      <c r="L25" s="290" t="str">
        <f t="shared" si="1"/>
        <v>NEEDS HELP</v>
      </c>
      <c r="M25" s="240"/>
    </row>
    <row r="26" spans="2:13" ht="18" x14ac:dyDescent="0.55000000000000004">
      <c r="B26" s="239"/>
      <c r="C26" s="46" t="s">
        <v>1009</v>
      </c>
      <c r="D26" s="289" t="str">
        <f t="shared" si="0"/>
        <v>Tray Johnson</v>
      </c>
      <c r="E26" s="240"/>
      <c r="G26" s="239"/>
      <c r="H26" s="36" t="s">
        <v>1004</v>
      </c>
      <c r="I26" s="283">
        <v>55</v>
      </c>
      <c r="J26" s="284">
        <v>68</v>
      </c>
      <c r="K26" s="284">
        <v>62</v>
      </c>
      <c r="L26" s="290" t="str">
        <f t="shared" si="1"/>
        <v>NEEDS HELP</v>
      </c>
      <c r="M26" s="240"/>
    </row>
    <row r="27" spans="2:13" ht="18" x14ac:dyDescent="0.55000000000000004">
      <c r="B27" s="239"/>
      <c r="E27" s="240"/>
      <c r="G27" s="239"/>
      <c r="H27" s="36" t="s">
        <v>1005</v>
      </c>
      <c r="I27" s="283">
        <v>84</v>
      </c>
      <c r="J27" s="284">
        <v>90</v>
      </c>
      <c r="K27" s="284">
        <v>92</v>
      </c>
      <c r="L27" s="291" t="str">
        <f t="shared" si="1"/>
        <v>GOOD STUDENT</v>
      </c>
      <c r="M27" s="240"/>
    </row>
    <row r="28" spans="2:13" x14ac:dyDescent="0.5">
      <c r="B28" s="239"/>
      <c r="E28" s="240"/>
      <c r="G28" s="239"/>
      <c r="M28" s="240"/>
    </row>
    <row r="29" spans="2:13" ht="16.149999999999999" thickBot="1" x14ac:dyDescent="0.55000000000000004">
      <c r="B29" s="239"/>
      <c r="C29" s="232" t="s">
        <v>976</v>
      </c>
      <c r="D29" s="19" t="s">
        <v>977</v>
      </c>
      <c r="E29" s="240"/>
      <c r="G29" s="241"/>
      <c r="H29" s="242"/>
      <c r="I29" s="242"/>
      <c r="J29" s="242"/>
      <c r="K29" s="242"/>
      <c r="L29" s="242"/>
      <c r="M29" s="243"/>
    </row>
    <row r="30" spans="2:13" ht="16.149999999999999" thickTop="1" x14ac:dyDescent="0.5">
      <c r="B30" s="239"/>
      <c r="E30" s="240"/>
    </row>
    <row r="31" spans="2:13" ht="16.149999999999999" thickBot="1" x14ac:dyDescent="0.55000000000000004">
      <c r="B31" s="241"/>
      <c r="C31" s="242"/>
      <c r="D31" s="242"/>
      <c r="E31" s="243"/>
    </row>
    <row r="32" spans="2:13" ht="16.149999999999999" thickTop="1" x14ac:dyDescent="0.5"/>
  </sheetData>
  <pageMargins left="0.7" right="0.7" top="0.75" bottom="0.75" header="0.3" footer="0.3"/>
  <pageSetup orientation="portrait" horizontalDpi="4294967295" verticalDpi="4294967295"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dimension ref="A1:K15"/>
  <sheetViews>
    <sheetView workbookViewId="0">
      <selection activeCell="G26" sqref="G26"/>
    </sheetView>
  </sheetViews>
  <sheetFormatPr defaultRowHeight="14.25" x14ac:dyDescent="0.45"/>
  <cols>
    <col min="2" max="3" width="18.73046875" customWidth="1"/>
    <col min="6" max="6" width="12.73046875" customWidth="1"/>
    <col min="7" max="7" width="17.73046875" customWidth="1"/>
    <col min="10" max="11" width="17.73046875" customWidth="1"/>
  </cols>
  <sheetData>
    <row r="1" spans="1:11" ht="21" x14ac:dyDescent="0.65">
      <c r="A1" s="57" t="s">
        <v>1227</v>
      </c>
    </row>
    <row r="2" spans="1:11" ht="21" x14ac:dyDescent="0.65">
      <c r="A2" s="57"/>
    </row>
    <row r="3" spans="1:11" x14ac:dyDescent="0.45">
      <c r="B3" s="328" t="s">
        <v>1234</v>
      </c>
      <c r="C3" s="349">
        <v>43617</v>
      </c>
    </row>
    <row r="4" spans="1:11" ht="14.65" thickBot="1" x14ac:dyDescent="0.5"/>
    <row r="5" spans="1:11" ht="14.65" thickBot="1" x14ac:dyDescent="0.5">
      <c r="B5" s="328" t="s">
        <v>882</v>
      </c>
      <c r="C5" s="328" t="s">
        <v>1228</v>
      </c>
      <c r="F5" s="339" t="s">
        <v>1240</v>
      </c>
      <c r="G5" s="340" t="s">
        <v>1235</v>
      </c>
      <c r="J5" s="328" t="s">
        <v>1236</v>
      </c>
    </row>
    <row r="6" spans="1:11" x14ac:dyDescent="0.45">
      <c r="B6" s="329" t="s">
        <v>535</v>
      </c>
      <c r="C6" s="330">
        <v>43586</v>
      </c>
      <c r="F6" s="335" t="s">
        <v>867</v>
      </c>
      <c r="G6" s="336">
        <v>0.9</v>
      </c>
      <c r="J6" s="343">
        <v>0.9</v>
      </c>
      <c r="K6" s="344" t="s">
        <v>1237</v>
      </c>
    </row>
    <row r="7" spans="1:11" x14ac:dyDescent="0.45">
      <c r="B7" s="331" t="s">
        <v>1229</v>
      </c>
      <c r="C7" s="332">
        <v>43600</v>
      </c>
      <c r="F7" s="335" t="s">
        <v>866</v>
      </c>
      <c r="G7" s="336">
        <v>0.75</v>
      </c>
      <c r="J7" s="345">
        <v>0.8</v>
      </c>
      <c r="K7" s="346" t="s">
        <v>1238</v>
      </c>
    </row>
    <row r="8" spans="1:11" ht="14.65" thickBot="1" x14ac:dyDescent="0.5">
      <c r="B8" s="331" t="s">
        <v>1230</v>
      </c>
      <c r="C8" s="332">
        <v>43556</v>
      </c>
      <c r="F8" s="335" t="s">
        <v>865</v>
      </c>
      <c r="G8" s="336">
        <v>0.75</v>
      </c>
      <c r="J8" s="347">
        <v>0.7</v>
      </c>
      <c r="K8" s="348" t="s">
        <v>1239</v>
      </c>
    </row>
    <row r="9" spans="1:11" x14ac:dyDescent="0.45">
      <c r="B9" s="331" t="s">
        <v>1231</v>
      </c>
      <c r="C9" s="332">
        <v>43631</v>
      </c>
      <c r="F9" s="335" t="s">
        <v>864</v>
      </c>
      <c r="G9" s="336">
        <v>0.79</v>
      </c>
      <c r="J9" s="341"/>
      <c r="K9" s="342"/>
    </row>
    <row r="10" spans="1:11" x14ac:dyDescent="0.45">
      <c r="B10" s="331" t="s">
        <v>1232</v>
      </c>
      <c r="C10" s="332">
        <v>43758</v>
      </c>
      <c r="F10" s="335" t="s">
        <v>1241</v>
      </c>
      <c r="G10" s="336">
        <v>0.8</v>
      </c>
    </row>
    <row r="11" spans="1:11" ht="14.65" thickBot="1" x14ac:dyDescent="0.5">
      <c r="B11" s="333" t="s">
        <v>1233</v>
      </c>
      <c r="C11" s="334">
        <v>43570</v>
      </c>
      <c r="F11" s="335" t="s">
        <v>863</v>
      </c>
      <c r="G11" s="336">
        <v>0.83</v>
      </c>
    </row>
    <row r="12" spans="1:11" x14ac:dyDescent="0.45">
      <c r="F12" s="335" t="s">
        <v>1242</v>
      </c>
      <c r="G12" s="336">
        <v>0.87</v>
      </c>
    </row>
    <row r="13" spans="1:11" x14ac:dyDescent="0.45">
      <c r="F13" s="335" t="s">
        <v>1243</v>
      </c>
      <c r="G13" s="336">
        <v>0.9</v>
      </c>
    </row>
    <row r="14" spans="1:11" x14ac:dyDescent="0.45">
      <c r="F14" s="335" t="s">
        <v>1244</v>
      </c>
      <c r="G14" s="336">
        <v>0.95</v>
      </c>
    </row>
    <row r="15" spans="1:11" ht="14.65" thickBot="1" x14ac:dyDescent="0.5">
      <c r="F15" s="337" t="s">
        <v>1245</v>
      </c>
      <c r="G15" s="338">
        <v>0.99</v>
      </c>
    </row>
  </sheetData>
  <conditionalFormatting sqref="C7:C11">
    <cfRule type="expression" dxfId="7" priority="4">
      <formula>C7&lt;C$3</formula>
    </cfRule>
  </conditionalFormatting>
  <conditionalFormatting sqref="G6:G15">
    <cfRule type="expression" dxfId="6" priority="1" stopIfTrue="1">
      <formula>G6&gt;=$J$6</formula>
    </cfRule>
    <cfRule type="expression" dxfId="5" priority="2" stopIfTrue="1">
      <formula>G6&gt;=$J$7</formula>
    </cfRule>
    <cfRule type="expression" dxfId="4" priority="3" stopIfTrue="1">
      <formula>G6&gt;=$J$8</formula>
    </cfRule>
  </conditionalFormatting>
  <pageMargins left="0.7" right="0.7" top="0.75" bottom="0.75" header="0.3" footer="0.3"/>
  <pageSetup orientation="portrait" horizontalDpi="4294967295" verticalDpi="4294967295" r:id="rId1"/>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dimension ref="A1:F53"/>
  <sheetViews>
    <sheetView workbookViewId="0"/>
  </sheetViews>
  <sheetFormatPr defaultRowHeight="14.25" x14ac:dyDescent="0.45"/>
  <cols>
    <col min="1" max="1" width="16" customWidth="1"/>
    <col min="2" max="2" width="18.265625" customWidth="1"/>
    <col min="3" max="3" width="21" customWidth="1"/>
    <col min="4" max="4" width="15.1328125" customWidth="1"/>
    <col min="5" max="5" width="17.86328125" customWidth="1"/>
    <col min="6" max="6" width="22" customWidth="1"/>
    <col min="257" max="257" width="16" customWidth="1"/>
    <col min="258" max="258" width="18.265625" customWidth="1"/>
    <col min="259" max="259" width="21" customWidth="1"/>
    <col min="260" max="260" width="15.1328125" customWidth="1"/>
    <col min="261" max="261" width="17.86328125" customWidth="1"/>
    <col min="262" max="262" width="22" customWidth="1"/>
    <col min="513" max="513" width="16" customWidth="1"/>
    <col min="514" max="514" width="18.265625" customWidth="1"/>
    <col min="515" max="515" width="21" customWidth="1"/>
    <col min="516" max="516" width="15.1328125" customWidth="1"/>
    <col min="517" max="517" width="17.86328125" customWidth="1"/>
    <col min="518" max="518" width="22" customWidth="1"/>
    <col min="769" max="769" width="16" customWidth="1"/>
    <col min="770" max="770" width="18.265625" customWidth="1"/>
    <col min="771" max="771" width="21" customWidth="1"/>
    <col min="772" max="772" width="15.1328125" customWidth="1"/>
    <col min="773" max="773" width="17.86328125" customWidth="1"/>
    <col min="774" max="774" width="22" customWidth="1"/>
    <col min="1025" max="1025" width="16" customWidth="1"/>
    <col min="1026" max="1026" width="18.265625" customWidth="1"/>
    <col min="1027" max="1027" width="21" customWidth="1"/>
    <col min="1028" max="1028" width="15.1328125" customWidth="1"/>
    <col min="1029" max="1029" width="17.86328125" customWidth="1"/>
    <col min="1030" max="1030" width="22" customWidth="1"/>
    <col min="1281" max="1281" width="16" customWidth="1"/>
    <col min="1282" max="1282" width="18.265625" customWidth="1"/>
    <col min="1283" max="1283" width="21" customWidth="1"/>
    <col min="1284" max="1284" width="15.1328125" customWidth="1"/>
    <col min="1285" max="1285" width="17.86328125" customWidth="1"/>
    <col min="1286" max="1286" width="22" customWidth="1"/>
    <col min="1537" max="1537" width="16" customWidth="1"/>
    <col min="1538" max="1538" width="18.265625" customWidth="1"/>
    <col min="1539" max="1539" width="21" customWidth="1"/>
    <col min="1540" max="1540" width="15.1328125" customWidth="1"/>
    <col min="1541" max="1541" width="17.86328125" customWidth="1"/>
    <col min="1542" max="1542" width="22" customWidth="1"/>
    <col min="1793" max="1793" width="16" customWidth="1"/>
    <col min="1794" max="1794" width="18.265625" customWidth="1"/>
    <col min="1795" max="1795" width="21" customWidth="1"/>
    <col min="1796" max="1796" width="15.1328125" customWidth="1"/>
    <col min="1797" max="1797" width="17.86328125" customWidth="1"/>
    <col min="1798" max="1798" width="22" customWidth="1"/>
    <col min="2049" max="2049" width="16" customWidth="1"/>
    <col min="2050" max="2050" width="18.265625" customWidth="1"/>
    <col min="2051" max="2051" width="21" customWidth="1"/>
    <col min="2052" max="2052" width="15.1328125" customWidth="1"/>
    <col min="2053" max="2053" width="17.86328125" customWidth="1"/>
    <col min="2054" max="2054" width="22" customWidth="1"/>
    <col min="2305" max="2305" width="16" customWidth="1"/>
    <col min="2306" max="2306" width="18.265625" customWidth="1"/>
    <col min="2307" max="2307" width="21" customWidth="1"/>
    <col min="2308" max="2308" width="15.1328125" customWidth="1"/>
    <col min="2309" max="2309" width="17.86328125" customWidth="1"/>
    <col min="2310" max="2310" width="22" customWidth="1"/>
    <col min="2561" max="2561" width="16" customWidth="1"/>
    <col min="2562" max="2562" width="18.265625" customWidth="1"/>
    <col min="2563" max="2563" width="21" customWidth="1"/>
    <col min="2564" max="2564" width="15.1328125" customWidth="1"/>
    <col min="2565" max="2565" width="17.86328125" customWidth="1"/>
    <col min="2566" max="2566" width="22" customWidth="1"/>
    <col min="2817" max="2817" width="16" customWidth="1"/>
    <col min="2818" max="2818" width="18.265625" customWidth="1"/>
    <col min="2819" max="2819" width="21" customWidth="1"/>
    <col min="2820" max="2820" width="15.1328125" customWidth="1"/>
    <col min="2821" max="2821" width="17.86328125" customWidth="1"/>
    <col min="2822" max="2822" width="22" customWidth="1"/>
    <col min="3073" max="3073" width="16" customWidth="1"/>
    <col min="3074" max="3074" width="18.265625" customWidth="1"/>
    <col min="3075" max="3075" width="21" customWidth="1"/>
    <col min="3076" max="3076" width="15.1328125" customWidth="1"/>
    <col min="3077" max="3077" width="17.86328125" customWidth="1"/>
    <col min="3078" max="3078" width="22" customWidth="1"/>
    <col min="3329" max="3329" width="16" customWidth="1"/>
    <col min="3330" max="3330" width="18.265625" customWidth="1"/>
    <col min="3331" max="3331" width="21" customWidth="1"/>
    <col min="3332" max="3332" width="15.1328125" customWidth="1"/>
    <col min="3333" max="3333" width="17.86328125" customWidth="1"/>
    <col min="3334" max="3334" width="22" customWidth="1"/>
    <col min="3585" max="3585" width="16" customWidth="1"/>
    <col min="3586" max="3586" width="18.265625" customWidth="1"/>
    <col min="3587" max="3587" width="21" customWidth="1"/>
    <col min="3588" max="3588" width="15.1328125" customWidth="1"/>
    <col min="3589" max="3589" width="17.86328125" customWidth="1"/>
    <col min="3590" max="3590" width="22" customWidth="1"/>
    <col min="3841" max="3841" width="16" customWidth="1"/>
    <col min="3842" max="3842" width="18.265625" customWidth="1"/>
    <col min="3843" max="3843" width="21" customWidth="1"/>
    <col min="3844" max="3844" width="15.1328125" customWidth="1"/>
    <col min="3845" max="3845" width="17.86328125" customWidth="1"/>
    <col min="3846" max="3846" width="22" customWidth="1"/>
    <col min="4097" max="4097" width="16" customWidth="1"/>
    <col min="4098" max="4098" width="18.265625" customWidth="1"/>
    <col min="4099" max="4099" width="21" customWidth="1"/>
    <col min="4100" max="4100" width="15.1328125" customWidth="1"/>
    <col min="4101" max="4101" width="17.86328125" customWidth="1"/>
    <col min="4102" max="4102" width="22" customWidth="1"/>
    <col min="4353" max="4353" width="16" customWidth="1"/>
    <col min="4354" max="4354" width="18.265625" customWidth="1"/>
    <col min="4355" max="4355" width="21" customWidth="1"/>
    <col min="4356" max="4356" width="15.1328125" customWidth="1"/>
    <col min="4357" max="4357" width="17.86328125" customWidth="1"/>
    <col min="4358" max="4358" width="22" customWidth="1"/>
    <col min="4609" max="4609" width="16" customWidth="1"/>
    <col min="4610" max="4610" width="18.265625" customWidth="1"/>
    <col min="4611" max="4611" width="21" customWidth="1"/>
    <col min="4612" max="4612" width="15.1328125" customWidth="1"/>
    <col min="4613" max="4613" width="17.86328125" customWidth="1"/>
    <col min="4614" max="4614" width="22" customWidth="1"/>
    <col min="4865" max="4865" width="16" customWidth="1"/>
    <col min="4866" max="4866" width="18.265625" customWidth="1"/>
    <col min="4867" max="4867" width="21" customWidth="1"/>
    <col min="4868" max="4868" width="15.1328125" customWidth="1"/>
    <col min="4869" max="4869" width="17.86328125" customWidth="1"/>
    <col min="4870" max="4870" width="22" customWidth="1"/>
    <col min="5121" max="5121" width="16" customWidth="1"/>
    <col min="5122" max="5122" width="18.265625" customWidth="1"/>
    <col min="5123" max="5123" width="21" customWidth="1"/>
    <col min="5124" max="5124" width="15.1328125" customWidth="1"/>
    <col min="5125" max="5125" width="17.86328125" customWidth="1"/>
    <col min="5126" max="5126" width="22" customWidth="1"/>
    <col min="5377" max="5377" width="16" customWidth="1"/>
    <col min="5378" max="5378" width="18.265625" customWidth="1"/>
    <col min="5379" max="5379" width="21" customWidth="1"/>
    <col min="5380" max="5380" width="15.1328125" customWidth="1"/>
    <col min="5381" max="5381" width="17.86328125" customWidth="1"/>
    <col min="5382" max="5382" width="22" customWidth="1"/>
    <col min="5633" max="5633" width="16" customWidth="1"/>
    <col min="5634" max="5634" width="18.265625" customWidth="1"/>
    <col min="5635" max="5635" width="21" customWidth="1"/>
    <col min="5636" max="5636" width="15.1328125" customWidth="1"/>
    <col min="5637" max="5637" width="17.86328125" customWidth="1"/>
    <col min="5638" max="5638" width="22" customWidth="1"/>
    <col min="5889" max="5889" width="16" customWidth="1"/>
    <col min="5890" max="5890" width="18.265625" customWidth="1"/>
    <col min="5891" max="5891" width="21" customWidth="1"/>
    <col min="5892" max="5892" width="15.1328125" customWidth="1"/>
    <col min="5893" max="5893" width="17.86328125" customWidth="1"/>
    <col min="5894" max="5894" width="22" customWidth="1"/>
    <col min="6145" max="6145" width="16" customWidth="1"/>
    <col min="6146" max="6146" width="18.265625" customWidth="1"/>
    <col min="6147" max="6147" width="21" customWidth="1"/>
    <col min="6148" max="6148" width="15.1328125" customWidth="1"/>
    <col min="6149" max="6149" width="17.86328125" customWidth="1"/>
    <col min="6150" max="6150" width="22" customWidth="1"/>
    <col min="6401" max="6401" width="16" customWidth="1"/>
    <col min="6402" max="6402" width="18.265625" customWidth="1"/>
    <col min="6403" max="6403" width="21" customWidth="1"/>
    <col min="6404" max="6404" width="15.1328125" customWidth="1"/>
    <col min="6405" max="6405" width="17.86328125" customWidth="1"/>
    <col min="6406" max="6406" width="22" customWidth="1"/>
    <col min="6657" max="6657" width="16" customWidth="1"/>
    <col min="6658" max="6658" width="18.265625" customWidth="1"/>
    <col min="6659" max="6659" width="21" customWidth="1"/>
    <col min="6660" max="6660" width="15.1328125" customWidth="1"/>
    <col min="6661" max="6661" width="17.86328125" customWidth="1"/>
    <col min="6662" max="6662" width="22" customWidth="1"/>
    <col min="6913" max="6913" width="16" customWidth="1"/>
    <col min="6914" max="6914" width="18.265625" customWidth="1"/>
    <col min="6915" max="6915" width="21" customWidth="1"/>
    <col min="6916" max="6916" width="15.1328125" customWidth="1"/>
    <col min="6917" max="6917" width="17.86328125" customWidth="1"/>
    <col min="6918" max="6918" width="22" customWidth="1"/>
    <col min="7169" max="7169" width="16" customWidth="1"/>
    <col min="7170" max="7170" width="18.265625" customWidth="1"/>
    <col min="7171" max="7171" width="21" customWidth="1"/>
    <col min="7172" max="7172" width="15.1328125" customWidth="1"/>
    <col min="7173" max="7173" width="17.86328125" customWidth="1"/>
    <col min="7174" max="7174" width="22" customWidth="1"/>
    <col min="7425" max="7425" width="16" customWidth="1"/>
    <col min="7426" max="7426" width="18.265625" customWidth="1"/>
    <col min="7427" max="7427" width="21" customWidth="1"/>
    <col min="7428" max="7428" width="15.1328125" customWidth="1"/>
    <col min="7429" max="7429" width="17.86328125" customWidth="1"/>
    <col min="7430" max="7430" width="22" customWidth="1"/>
    <col min="7681" max="7681" width="16" customWidth="1"/>
    <col min="7682" max="7682" width="18.265625" customWidth="1"/>
    <col min="7683" max="7683" width="21" customWidth="1"/>
    <col min="7684" max="7684" width="15.1328125" customWidth="1"/>
    <col min="7685" max="7685" width="17.86328125" customWidth="1"/>
    <col min="7686" max="7686" width="22" customWidth="1"/>
    <col min="7937" max="7937" width="16" customWidth="1"/>
    <col min="7938" max="7938" width="18.265625" customWidth="1"/>
    <col min="7939" max="7939" width="21" customWidth="1"/>
    <col min="7940" max="7940" width="15.1328125" customWidth="1"/>
    <col min="7941" max="7941" width="17.86328125" customWidth="1"/>
    <col min="7942" max="7942" width="22" customWidth="1"/>
    <col min="8193" max="8193" width="16" customWidth="1"/>
    <col min="8194" max="8194" width="18.265625" customWidth="1"/>
    <col min="8195" max="8195" width="21" customWidth="1"/>
    <col min="8196" max="8196" width="15.1328125" customWidth="1"/>
    <col min="8197" max="8197" width="17.86328125" customWidth="1"/>
    <col min="8198" max="8198" width="22" customWidth="1"/>
    <col min="8449" max="8449" width="16" customWidth="1"/>
    <col min="8450" max="8450" width="18.265625" customWidth="1"/>
    <col min="8451" max="8451" width="21" customWidth="1"/>
    <col min="8452" max="8452" width="15.1328125" customWidth="1"/>
    <col min="8453" max="8453" width="17.86328125" customWidth="1"/>
    <col min="8454" max="8454" width="22" customWidth="1"/>
    <col min="8705" max="8705" width="16" customWidth="1"/>
    <col min="8706" max="8706" width="18.265625" customWidth="1"/>
    <col min="8707" max="8707" width="21" customWidth="1"/>
    <col min="8708" max="8708" width="15.1328125" customWidth="1"/>
    <col min="8709" max="8709" width="17.86328125" customWidth="1"/>
    <col min="8710" max="8710" width="22" customWidth="1"/>
    <col min="8961" max="8961" width="16" customWidth="1"/>
    <col min="8962" max="8962" width="18.265625" customWidth="1"/>
    <col min="8963" max="8963" width="21" customWidth="1"/>
    <col min="8964" max="8964" width="15.1328125" customWidth="1"/>
    <col min="8965" max="8965" width="17.86328125" customWidth="1"/>
    <col min="8966" max="8966" width="22" customWidth="1"/>
    <col min="9217" max="9217" width="16" customWidth="1"/>
    <col min="9218" max="9218" width="18.265625" customWidth="1"/>
    <col min="9219" max="9219" width="21" customWidth="1"/>
    <col min="9220" max="9220" width="15.1328125" customWidth="1"/>
    <col min="9221" max="9221" width="17.86328125" customWidth="1"/>
    <col min="9222" max="9222" width="22" customWidth="1"/>
    <col min="9473" max="9473" width="16" customWidth="1"/>
    <col min="9474" max="9474" width="18.265625" customWidth="1"/>
    <col min="9475" max="9475" width="21" customWidth="1"/>
    <col min="9476" max="9476" width="15.1328125" customWidth="1"/>
    <col min="9477" max="9477" width="17.86328125" customWidth="1"/>
    <col min="9478" max="9478" width="22" customWidth="1"/>
    <col min="9729" max="9729" width="16" customWidth="1"/>
    <col min="9730" max="9730" width="18.265625" customWidth="1"/>
    <col min="9731" max="9731" width="21" customWidth="1"/>
    <col min="9732" max="9732" width="15.1328125" customWidth="1"/>
    <col min="9733" max="9733" width="17.86328125" customWidth="1"/>
    <col min="9734" max="9734" width="22" customWidth="1"/>
    <col min="9985" max="9985" width="16" customWidth="1"/>
    <col min="9986" max="9986" width="18.265625" customWidth="1"/>
    <col min="9987" max="9987" width="21" customWidth="1"/>
    <col min="9988" max="9988" width="15.1328125" customWidth="1"/>
    <col min="9989" max="9989" width="17.86328125" customWidth="1"/>
    <col min="9990" max="9990" width="22" customWidth="1"/>
    <col min="10241" max="10241" width="16" customWidth="1"/>
    <col min="10242" max="10242" width="18.265625" customWidth="1"/>
    <col min="10243" max="10243" width="21" customWidth="1"/>
    <col min="10244" max="10244" width="15.1328125" customWidth="1"/>
    <col min="10245" max="10245" width="17.86328125" customWidth="1"/>
    <col min="10246" max="10246" width="22" customWidth="1"/>
    <col min="10497" max="10497" width="16" customWidth="1"/>
    <col min="10498" max="10498" width="18.265625" customWidth="1"/>
    <col min="10499" max="10499" width="21" customWidth="1"/>
    <col min="10500" max="10500" width="15.1328125" customWidth="1"/>
    <col min="10501" max="10501" width="17.86328125" customWidth="1"/>
    <col min="10502" max="10502" width="22" customWidth="1"/>
    <col min="10753" max="10753" width="16" customWidth="1"/>
    <col min="10754" max="10754" width="18.265625" customWidth="1"/>
    <col min="10755" max="10755" width="21" customWidth="1"/>
    <col min="10756" max="10756" width="15.1328125" customWidth="1"/>
    <col min="10757" max="10757" width="17.86328125" customWidth="1"/>
    <col min="10758" max="10758" width="22" customWidth="1"/>
    <col min="11009" max="11009" width="16" customWidth="1"/>
    <col min="11010" max="11010" width="18.265625" customWidth="1"/>
    <col min="11011" max="11011" width="21" customWidth="1"/>
    <col min="11012" max="11012" width="15.1328125" customWidth="1"/>
    <col min="11013" max="11013" width="17.86328125" customWidth="1"/>
    <col min="11014" max="11014" width="22" customWidth="1"/>
    <col min="11265" max="11265" width="16" customWidth="1"/>
    <col min="11266" max="11266" width="18.265625" customWidth="1"/>
    <col min="11267" max="11267" width="21" customWidth="1"/>
    <col min="11268" max="11268" width="15.1328125" customWidth="1"/>
    <col min="11269" max="11269" width="17.86328125" customWidth="1"/>
    <col min="11270" max="11270" width="22" customWidth="1"/>
    <col min="11521" max="11521" width="16" customWidth="1"/>
    <col min="11522" max="11522" width="18.265625" customWidth="1"/>
    <col min="11523" max="11523" width="21" customWidth="1"/>
    <col min="11524" max="11524" width="15.1328125" customWidth="1"/>
    <col min="11525" max="11525" width="17.86328125" customWidth="1"/>
    <col min="11526" max="11526" width="22" customWidth="1"/>
    <col min="11777" max="11777" width="16" customWidth="1"/>
    <col min="11778" max="11778" width="18.265625" customWidth="1"/>
    <col min="11779" max="11779" width="21" customWidth="1"/>
    <col min="11780" max="11780" width="15.1328125" customWidth="1"/>
    <col min="11781" max="11781" width="17.86328125" customWidth="1"/>
    <col min="11782" max="11782" width="22" customWidth="1"/>
    <col min="12033" max="12033" width="16" customWidth="1"/>
    <col min="12034" max="12034" width="18.265625" customWidth="1"/>
    <col min="12035" max="12035" width="21" customWidth="1"/>
    <col min="12036" max="12036" width="15.1328125" customWidth="1"/>
    <col min="12037" max="12037" width="17.86328125" customWidth="1"/>
    <col min="12038" max="12038" width="22" customWidth="1"/>
    <col min="12289" max="12289" width="16" customWidth="1"/>
    <col min="12290" max="12290" width="18.265625" customWidth="1"/>
    <col min="12291" max="12291" width="21" customWidth="1"/>
    <col min="12292" max="12292" width="15.1328125" customWidth="1"/>
    <col min="12293" max="12293" width="17.86328125" customWidth="1"/>
    <col min="12294" max="12294" width="22" customWidth="1"/>
    <col min="12545" max="12545" width="16" customWidth="1"/>
    <col min="12546" max="12546" width="18.265625" customWidth="1"/>
    <col min="12547" max="12547" width="21" customWidth="1"/>
    <col min="12548" max="12548" width="15.1328125" customWidth="1"/>
    <col min="12549" max="12549" width="17.86328125" customWidth="1"/>
    <col min="12550" max="12550" width="22" customWidth="1"/>
    <col min="12801" max="12801" width="16" customWidth="1"/>
    <col min="12802" max="12802" width="18.265625" customWidth="1"/>
    <col min="12803" max="12803" width="21" customWidth="1"/>
    <col min="12804" max="12804" width="15.1328125" customWidth="1"/>
    <col min="12805" max="12805" width="17.86328125" customWidth="1"/>
    <col min="12806" max="12806" width="22" customWidth="1"/>
    <col min="13057" max="13057" width="16" customWidth="1"/>
    <col min="13058" max="13058" width="18.265625" customWidth="1"/>
    <col min="13059" max="13059" width="21" customWidth="1"/>
    <col min="13060" max="13060" width="15.1328125" customWidth="1"/>
    <col min="13061" max="13061" width="17.86328125" customWidth="1"/>
    <col min="13062" max="13062" width="22" customWidth="1"/>
    <col min="13313" max="13313" width="16" customWidth="1"/>
    <col min="13314" max="13314" width="18.265625" customWidth="1"/>
    <col min="13315" max="13315" width="21" customWidth="1"/>
    <col min="13316" max="13316" width="15.1328125" customWidth="1"/>
    <col min="13317" max="13317" width="17.86328125" customWidth="1"/>
    <col min="13318" max="13318" width="22" customWidth="1"/>
    <col min="13569" max="13569" width="16" customWidth="1"/>
    <col min="13570" max="13570" width="18.265625" customWidth="1"/>
    <col min="13571" max="13571" width="21" customWidth="1"/>
    <col min="13572" max="13572" width="15.1328125" customWidth="1"/>
    <col min="13573" max="13573" width="17.86328125" customWidth="1"/>
    <col min="13574" max="13574" width="22" customWidth="1"/>
    <col min="13825" max="13825" width="16" customWidth="1"/>
    <col min="13826" max="13826" width="18.265625" customWidth="1"/>
    <col min="13827" max="13827" width="21" customWidth="1"/>
    <col min="13828" max="13828" width="15.1328125" customWidth="1"/>
    <col min="13829" max="13829" width="17.86328125" customWidth="1"/>
    <col min="13830" max="13830" width="22" customWidth="1"/>
    <col min="14081" max="14081" width="16" customWidth="1"/>
    <col min="14082" max="14082" width="18.265625" customWidth="1"/>
    <col min="14083" max="14083" width="21" customWidth="1"/>
    <col min="14084" max="14084" width="15.1328125" customWidth="1"/>
    <col min="14085" max="14085" width="17.86328125" customWidth="1"/>
    <col min="14086" max="14086" width="22" customWidth="1"/>
    <col min="14337" max="14337" width="16" customWidth="1"/>
    <col min="14338" max="14338" width="18.265625" customWidth="1"/>
    <col min="14339" max="14339" width="21" customWidth="1"/>
    <col min="14340" max="14340" width="15.1328125" customWidth="1"/>
    <col min="14341" max="14341" width="17.86328125" customWidth="1"/>
    <col min="14342" max="14342" width="22" customWidth="1"/>
    <col min="14593" max="14593" width="16" customWidth="1"/>
    <col min="14594" max="14594" width="18.265625" customWidth="1"/>
    <col min="14595" max="14595" width="21" customWidth="1"/>
    <col min="14596" max="14596" width="15.1328125" customWidth="1"/>
    <col min="14597" max="14597" width="17.86328125" customWidth="1"/>
    <col min="14598" max="14598" width="22" customWidth="1"/>
    <col min="14849" max="14849" width="16" customWidth="1"/>
    <col min="14850" max="14850" width="18.265625" customWidth="1"/>
    <col min="14851" max="14851" width="21" customWidth="1"/>
    <col min="14852" max="14852" width="15.1328125" customWidth="1"/>
    <col min="14853" max="14853" width="17.86328125" customWidth="1"/>
    <col min="14854" max="14854" width="22" customWidth="1"/>
    <col min="15105" max="15105" width="16" customWidth="1"/>
    <col min="15106" max="15106" width="18.265625" customWidth="1"/>
    <col min="15107" max="15107" width="21" customWidth="1"/>
    <col min="15108" max="15108" width="15.1328125" customWidth="1"/>
    <col min="15109" max="15109" width="17.86328125" customWidth="1"/>
    <col min="15110" max="15110" width="22" customWidth="1"/>
    <col min="15361" max="15361" width="16" customWidth="1"/>
    <col min="15362" max="15362" width="18.265625" customWidth="1"/>
    <col min="15363" max="15363" width="21" customWidth="1"/>
    <col min="15364" max="15364" width="15.1328125" customWidth="1"/>
    <col min="15365" max="15365" width="17.86328125" customWidth="1"/>
    <col min="15366" max="15366" width="22" customWidth="1"/>
    <col min="15617" max="15617" width="16" customWidth="1"/>
    <col min="15618" max="15618" width="18.265625" customWidth="1"/>
    <col min="15619" max="15619" width="21" customWidth="1"/>
    <col min="15620" max="15620" width="15.1328125" customWidth="1"/>
    <col min="15621" max="15621" width="17.86328125" customWidth="1"/>
    <col min="15622" max="15622" width="22" customWidth="1"/>
    <col min="15873" max="15873" width="16" customWidth="1"/>
    <col min="15874" max="15874" width="18.265625" customWidth="1"/>
    <col min="15875" max="15875" width="21" customWidth="1"/>
    <col min="15876" max="15876" width="15.1328125" customWidth="1"/>
    <col min="15877" max="15877" width="17.86328125" customWidth="1"/>
    <col min="15878" max="15878" width="22" customWidth="1"/>
    <col min="16129" max="16129" width="16" customWidth="1"/>
    <col min="16130" max="16130" width="18.265625" customWidth="1"/>
    <col min="16131" max="16131" width="21" customWidth="1"/>
    <col min="16132" max="16132" width="15.1328125" customWidth="1"/>
    <col min="16133" max="16133" width="17.86328125" customWidth="1"/>
    <col min="16134" max="16134" width="22" customWidth="1"/>
  </cols>
  <sheetData>
    <row r="1" spans="1:6" ht="21" x14ac:dyDescent="0.65">
      <c r="A1" s="57" t="s">
        <v>1012</v>
      </c>
    </row>
    <row r="3" spans="1:6" ht="15.4" x14ac:dyDescent="0.45">
      <c r="A3" s="320" t="s">
        <v>506</v>
      </c>
      <c r="B3" s="321" t="s">
        <v>507</v>
      </c>
      <c r="C3" s="320" t="s">
        <v>508</v>
      </c>
      <c r="D3" s="321" t="s">
        <v>509</v>
      </c>
      <c r="E3" s="320" t="s">
        <v>510</v>
      </c>
      <c r="F3" s="321" t="s">
        <v>511</v>
      </c>
    </row>
    <row r="4" spans="1:6" ht="15.75" x14ac:dyDescent="0.5">
      <c r="A4" s="3" t="s">
        <v>512</v>
      </c>
      <c r="B4" s="3" t="s">
        <v>513</v>
      </c>
      <c r="C4" s="3" t="s">
        <v>514</v>
      </c>
      <c r="D4" s="3" t="s">
        <v>515</v>
      </c>
      <c r="E4" s="14" t="s">
        <v>516</v>
      </c>
      <c r="F4" s="14">
        <v>311569</v>
      </c>
    </row>
    <row r="5" spans="1:6" ht="15.75" x14ac:dyDescent="0.5">
      <c r="A5" s="3" t="s">
        <v>512</v>
      </c>
      <c r="B5" s="3" t="s">
        <v>513</v>
      </c>
      <c r="C5" s="3" t="s">
        <v>514</v>
      </c>
      <c r="D5" s="3" t="s">
        <v>515</v>
      </c>
      <c r="E5" s="14" t="s">
        <v>517</v>
      </c>
      <c r="F5" s="14">
        <v>568944</v>
      </c>
    </row>
    <row r="6" spans="1:6" ht="15.75" x14ac:dyDescent="0.5">
      <c r="A6" s="3" t="s">
        <v>512</v>
      </c>
      <c r="B6" s="3" t="s">
        <v>519</v>
      </c>
      <c r="C6" s="3" t="s">
        <v>520</v>
      </c>
      <c r="D6" s="3" t="s">
        <v>521</v>
      </c>
      <c r="E6" s="14" t="s">
        <v>517</v>
      </c>
      <c r="F6" s="14">
        <v>789504</v>
      </c>
    </row>
    <row r="7" spans="1:6" ht="15.75" x14ac:dyDescent="0.5">
      <c r="A7" s="3" t="s">
        <v>512</v>
      </c>
      <c r="B7" s="3" t="s">
        <v>519</v>
      </c>
      <c r="C7" s="3" t="s">
        <v>523</v>
      </c>
      <c r="D7" s="3" t="s">
        <v>521</v>
      </c>
      <c r="E7" s="14" t="s">
        <v>516</v>
      </c>
      <c r="F7" s="14">
        <v>255975</v>
      </c>
    </row>
    <row r="8" spans="1:6" ht="15.75" x14ac:dyDescent="0.5">
      <c r="A8" s="3" t="s">
        <v>512</v>
      </c>
      <c r="B8" s="3" t="s">
        <v>513</v>
      </c>
      <c r="C8" s="3" t="s">
        <v>514</v>
      </c>
      <c r="D8" s="3" t="s">
        <v>525</v>
      </c>
      <c r="E8" s="14" t="s">
        <v>516</v>
      </c>
      <c r="F8" s="14">
        <v>89005</v>
      </c>
    </row>
    <row r="9" spans="1:6" ht="15.75" x14ac:dyDescent="0.5">
      <c r="A9" s="3" t="s">
        <v>512</v>
      </c>
      <c r="B9" s="3" t="s">
        <v>513</v>
      </c>
      <c r="C9" s="3" t="s">
        <v>514</v>
      </c>
      <c r="D9" s="3" t="s">
        <v>525</v>
      </c>
      <c r="E9" s="14" t="s">
        <v>517</v>
      </c>
      <c r="F9" s="14">
        <v>103900</v>
      </c>
    </row>
    <row r="10" spans="1:6" ht="15.75" x14ac:dyDescent="0.5">
      <c r="A10" s="3" t="s">
        <v>512</v>
      </c>
      <c r="B10" s="3" t="s">
        <v>528</v>
      </c>
      <c r="C10" s="3" t="s">
        <v>529</v>
      </c>
      <c r="D10" s="3" t="s">
        <v>515</v>
      </c>
      <c r="E10" s="14" t="s">
        <v>517</v>
      </c>
      <c r="F10" s="14">
        <v>654300</v>
      </c>
    </row>
    <row r="11" spans="1:6" ht="15.75" x14ac:dyDescent="0.5">
      <c r="A11" s="3" t="s">
        <v>512</v>
      </c>
      <c r="B11" s="3" t="s">
        <v>528</v>
      </c>
      <c r="C11" s="3" t="s">
        <v>529</v>
      </c>
      <c r="D11" s="3" t="s">
        <v>515</v>
      </c>
      <c r="E11" s="14" t="s">
        <v>516</v>
      </c>
      <c r="F11" s="14">
        <v>145900</v>
      </c>
    </row>
    <row r="12" spans="1:6" ht="15.75" x14ac:dyDescent="0.5">
      <c r="A12" s="3" t="s">
        <v>512</v>
      </c>
      <c r="B12" s="3" t="s">
        <v>532</v>
      </c>
      <c r="C12" s="3" t="s">
        <v>533</v>
      </c>
      <c r="D12" s="3" t="s">
        <v>534</v>
      </c>
      <c r="E12" s="14" t="s">
        <v>535</v>
      </c>
      <c r="F12" s="14">
        <v>54900</v>
      </c>
    </row>
    <row r="13" spans="1:6" ht="15.75" x14ac:dyDescent="0.5">
      <c r="A13" s="3" t="s">
        <v>512</v>
      </c>
      <c r="B13" s="3" t="s">
        <v>532</v>
      </c>
      <c r="C13" s="3" t="s">
        <v>533</v>
      </c>
      <c r="D13" s="3" t="s">
        <v>534</v>
      </c>
      <c r="E13" s="14" t="s">
        <v>535</v>
      </c>
      <c r="F13" s="14">
        <v>99875</v>
      </c>
    </row>
    <row r="14" spans="1:6" ht="15.75" x14ac:dyDescent="0.5">
      <c r="A14" s="3" t="s">
        <v>512</v>
      </c>
      <c r="B14" s="3" t="s">
        <v>538</v>
      </c>
      <c r="C14" s="3" t="s">
        <v>539</v>
      </c>
      <c r="D14" s="3" t="s">
        <v>540</v>
      </c>
      <c r="E14" s="14" t="s">
        <v>541</v>
      </c>
      <c r="F14" s="14">
        <v>856004</v>
      </c>
    </row>
    <row r="15" spans="1:6" ht="15.75" x14ac:dyDescent="0.5">
      <c r="A15" s="3" t="s">
        <v>543</v>
      </c>
      <c r="B15" s="3" t="s">
        <v>513</v>
      </c>
      <c r="C15" s="3" t="s">
        <v>514</v>
      </c>
      <c r="D15" s="3" t="s">
        <v>515</v>
      </c>
      <c r="E15" s="14" t="s">
        <v>517</v>
      </c>
      <c r="F15" s="14">
        <v>80900</v>
      </c>
    </row>
    <row r="16" spans="1:6" ht="15.75" x14ac:dyDescent="0.5">
      <c r="A16" s="3" t="s">
        <v>543</v>
      </c>
      <c r="B16" s="3" t="s">
        <v>538</v>
      </c>
      <c r="C16" s="3" t="s">
        <v>539</v>
      </c>
      <c r="D16" s="3" t="s">
        <v>540</v>
      </c>
      <c r="E16" s="14" t="s">
        <v>541</v>
      </c>
      <c r="F16" s="14">
        <v>560900</v>
      </c>
    </row>
    <row r="17" spans="1:6" ht="15.75" x14ac:dyDescent="0.5">
      <c r="A17" s="3" t="s">
        <v>543</v>
      </c>
      <c r="B17" s="3" t="s">
        <v>519</v>
      </c>
      <c r="C17" s="3" t="s">
        <v>523</v>
      </c>
      <c r="D17" s="3" t="s">
        <v>521</v>
      </c>
      <c r="E17" s="14" t="s">
        <v>517</v>
      </c>
      <c r="F17" s="14">
        <v>998900</v>
      </c>
    </row>
    <row r="18" spans="1:6" ht="15.75" x14ac:dyDescent="0.5">
      <c r="A18" s="3" t="s">
        <v>543</v>
      </c>
      <c r="B18" s="3" t="s">
        <v>519</v>
      </c>
      <c r="C18" s="3" t="s">
        <v>523</v>
      </c>
      <c r="D18" s="3" t="s">
        <v>545</v>
      </c>
      <c r="E18" s="14" t="s">
        <v>516</v>
      </c>
      <c r="F18" s="14">
        <v>315900</v>
      </c>
    </row>
    <row r="19" spans="1:6" ht="15.75" x14ac:dyDescent="0.5">
      <c r="A19" s="3" t="s">
        <v>543</v>
      </c>
      <c r="B19" s="3" t="s">
        <v>513</v>
      </c>
      <c r="C19" s="3" t="s">
        <v>514</v>
      </c>
      <c r="D19" s="3" t="s">
        <v>546</v>
      </c>
      <c r="E19" s="14" t="s">
        <v>517</v>
      </c>
      <c r="F19" s="14">
        <v>209450</v>
      </c>
    </row>
    <row r="20" spans="1:6" ht="15.75" x14ac:dyDescent="0.5">
      <c r="A20" s="3" t="s">
        <v>543</v>
      </c>
      <c r="B20" s="3" t="s">
        <v>519</v>
      </c>
      <c r="C20" s="3" t="s">
        <v>523</v>
      </c>
      <c r="D20" s="3" t="s">
        <v>521</v>
      </c>
      <c r="E20" s="14" t="s">
        <v>516</v>
      </c>
      <c r="F20" s="14">
        <v>314569</v>
      </c>
    </row>
    <row r="21" spans="1:6" ht="15.75" x14ac:dyDescent="0.5">
      <c r="A21" s="3" t="s">
        <v>547</v>
      </c>
      <c r="B21" s="3" t="s">
        <v>513</v>
      </c>
      <c r="C21" s="3" t="s">
        <v>514</v>
      </c>
      <c r="D21" s="3" t="s">
        <v>525</v>
      </c>
      <c r="E21" s="14" t="s">
        <v>516</v>
      </c>
      <c r="F21" s="14">
        <v>151001</v>
      </c>
    </row>
    <row r="22" spans="1:6" ht="15.75" x14ac:dyDescent="0.5">
      <c r="A22" s="3" t="s">
        <v>547</v>
      </c>
      <c r="B22" s="3" t="s">
        <v>513</v>
      </c>
      <c r="C22" s="3" t="s">
        <v>514</v>
      </c>
      <c r="D22" s="3" t="s">
        <v>525</v>
      </c>
      <c r="E22" s="14" t="s">
        <v>517</v>
      </c>
      <c r="F22" s="14">
        <v>569900</v>
      </c>
    </row>
    <row r="23" spans="1:6" ht="15.75" x14ac:dyDescent="0.5">
      <c r="A23" s="3" t="s">
        <v>547</v>
      </c>
      <c r="B23" s="3" t="s">
        <v>528</v>
      </c>
      <c r="C23" s="3" t="s">
        <v>529</v>
      </c>
      <c r="D23" s="3" t="s">
        <v>515</v>
      </c>
      <c r="E23" s="14" t="s">
        <v>516</v>
      </c>
      <c r="F23" s="14">
        <v>450900</v>
      </c>
    </row>
    <row r="24" spans="1:6" ht="15.75" x14ac:dyDescent="0.5">
      <c r="A24" s="3" t="s">
        <v>547</v>
      </c>
      <c r="B24" s="3" t="s">
        <v>528</v>
      </c>
      <c r="C24" s="3" t="s">
        <v>529</v>
      </c>
      <c r="D24" s="3" t="s">
        <v>515</v>
      </c>
      <c r="E24" s="14" t="s">
        <v>517</v>
      </c>
      <c r="F24" s="14">
        <v>890544</v>
      </c>
    </row>
    <row r="25" spans="1:6" ht="15.75" x14ac:dyDescent="0.5">
      <c r="A25" s="3" t="s">
        <v>547</v>
      </c>
      <c r="B25" s="3" t="s">
        <v>532</v>
      </c>
      <c r="C25" s="3" t="s">
        <v>533</v>
      </c>
      <c r="D25" s="3" t="s">
        <v>548</v>
      </c>
      <c r="E25" s="14" t="s">
        <v>535</v>
      </c>
      <c r="F25" s="14">
        <v>900500</v>
      </c>
    </row>
    <row r="26" spans="1:6" ht="15.75" x14ac:dyDescent="0.5">
      <c r="A26" s="3" t="s">
        <v>543</v>
      </c>
      <c r="B26" s="3" t="s">
        <v>528</v>
      </c>
      <c r="C26" s="3" t="s">
        <v>529</v>
      </c>
      <c r="D26" s="3" t="s">
        <v>515</v>
      </c>
      <c r="E26" s="14" t="s">
        <v>516</v>
      </c>
      <c r="F26" s="14">
        <v>133131</v>
      </c>
    </row>
    <row r="27" spans="1:6" ht="15.75" x14ac:dyDescent="0.5">
      <c r="A27" s="3" t="s">
        <v>512</v>
      </c>
      <c r="B27" s="3" t="s">
        <v>532</v>
      </c>
      <c r="C27" s="3" t="s">
        <v>533</v>
      </c>
      <c r="D27" s="3" t="s">
        <v>548</v>
      </c>
      <c r="E27" s="14" t="s">
        <v>535</v>
      </c>
      <c r="F27" s="14">
        <v>115000</v>
      </c>
    </row>
    <row r="28" spans="1:6" ht="15.75" x14ac:dyDescent="0.5">
      <c r="A28" s="3" t="s">
        <v>549</v>
      </c>
      <c r="B28" s="3" t="s">
        <v>532</v>
      </c>
      <c r="C28" s="3" t="s">
        <v>533</v>
      </c>
      <c r="D28" s="3" t="s">
        <v>534</v>
      </c>
      <c r="E28" s="14" t="s">
        <v>535</v>
      </c>
      <c r="F28" s="14">
        <v>98750</v>
      </c>
    </row>
    <row r="29" spans="1:6" ht="15.75" x14ac:dyDescent="0.5">
      <c r="A29" s="3" t="s">
        <v>550</v>
      </c>
      <c r="B29" s="3" t="s">
        <v>519</v>
      </c>
      <c r="C29" s="3" t="s">
        <v>523</v>
      </c>
      <c r="D29" s="3" t="s">
        <v>521</v>
      </c>
      <c r="E29" s="3" t="s">
        <v>517</v>
      </c>
      <c r="F29" s="14">
        <v>314569</v>
      </c>
    </row>
    <row r="30" spans="1:6" ht="15.75" x14ac:dyDescent="0.5">
      <c r="A30" s="3" t="s">
        <v>550</v>
      </c>
      <c r="B30" s="3" t="s">
        <v>513</v>
      </c>
      <c r="C30" s="3" t="s">
        <v>514</v>
      </c>
      <c r="D30" s="3" t="s">
        <v>525</v>
      </c>
      <c r="E30" s="3" t="s">
        <v>516</v>
      </c>
      <c r="F30" s="14">
        <v>151001</v>
      </c>
    </row>
    <row r="31" spans="1:6" ht="15.75" x14ac:dyDescent="0.5">
      <c r="A31" s="3" t="s">
        <v>550</v>
      </c>
      <c r="B31" s="3" t="s">
        <v>513</v>
      </c>
      <c r="C31" s="3" t="s">
        <v>514</v>
      </c>
      <c r="D31" s="3" t="s">
        <v>525</v>
      </c>
      <c r="E31" s="3" t="s">
        <v>517</v>
      </c>
      <c r="F31" s="14">
        <v>850450</v>
      </c>
    </row>
    <row r="32" spans="1:6" ht="15.75" x14ac:dyDescent="0.5">
      <c r="A32" s="3" t="s">
        <v>550</v>
      </c>
      <c r="B32" s="3" t="s">
        <v>528</v>
      </c>
      <c r="C32" s="3" t="s">
        <v>529</v>
      </c>
      <c r="D32" s="3" t="s">
        <v>515</v>
      </c>
      <c r="E32" s="3" t="s">
        <v>517</v>
      </c>
      <c r="F32" s="14">
        <v>790545</v>
      </c>
    </row>
    <row r="33" spans="1:6" ht="15.75" x14ac:dyDescent="0.5">
      <c r="A33" s="3" t="s">
        <v>550</v>
      </c>
      <c r="B33" s="3" t="s">
        <v>519</v>
      </c>
      <c r="C33" s="3" t="s">
        <v>523</v>
      </c>
      <c r="D33" s="3" t="s">
        <v>521</v>
      </c>
      <c r="E33" s="3" t="s">
        <v>516</v>
      </c>
      <c r="F33" s="14">
        <v>650950</v>
      </c>
    </row>
    <row r="34" spans="1:6" ht="15.75" x14ac:dyDescent="0.5">
      <c r="A34" s="3" t="s">
        <v>549</v>
      </c>
      <c r="B34" s="3" t="s">
        <v>528</v>
      </c>
      <c r="C34" s="3" t="s">
        <v>529</v>
      </c>
      <c r="D34" s="3" t="s">
        <v>515</v>
      </c>
      <c r="E34" s="3" t="s">
        <v>516</v>
      </c>
      <c r="F34" s="14">
        <v>133131</v>
      </c>
    </row>
    <row r="35" spans="1:6" ht="15.75" x14ac:dyDescent="0.5">
      <c r="A35" s="3" t="s">
        <v>549</v>
      </c>
      <c r="B35" s="3" t="s">
        <v>532</v>
      </c>
      <c r="C35" s="3" t="s">
        <v>533</v>
      </c>
      <c r="D35" s="3" t="s">
        <v>548</v>
      </c>
      <c r="E35" s="3" t="s">
        <v>535</v>
      </c>
      <c r="F35" s="14">
        <v>199500</v>
      </c>
    </row>
    <row r="36" spans="1:6" ht="15.75" x14ac:dyDescent="0.5">
      <c r="A36" s="3" t="s">
        <v>549</v>
      </c>
      <c r="B36" s="3" t="s">
        <v>532</v>
      </c>
      <c r="C36" s="3" t="s">
        <v>533</v>
      </c>
      <c r="D36" s="3" t="s">
        <v>551</v>
      </c>
      <c r="E36" s="3" t="s">
        <v>535</v>
      </c>
      <c r="F36" s="14">
        <v>122575</v>
      </c>
    </row>
    <row r="37" spans="1:6" ht="15.75" x14ac:dyDescent="0.5">
      <c r="A37" s="3" t="s">
        <v>552</v>
      </c>
      <c r="B37" s="3" t="s">
        <v>519</v>
      </c>
      <c r="C37" s="3" t="s">
        <v>523</v>
      </c>
      <c r="D37" s="3" t="s">
        <v>521</v>
      </c>
      <c r="E37" s="3" t="s">
        <v>517</v>
      </c>
      <c r="F37" s="14">
        <v>262450</v>
      </c>
    </row>
    <row r="38" spans="1:6" ht="15.75" x14ac:dyDescent="0.5">
      <c r="A38" s="3" t="s">
        <v>552</v>
      </c>
      <c r="B38" s="3" t="s">
        <v>532</v>
      </c>
      <c r="C38" s="3" t="s">
        <v>533</v>
      </c>
      <c r="D38" s="3" t="s">
        <v>534</v>
      </c>
      <c r="E38" s="3" t="s">
        <v>535</v>
      </c>
      <c r="F38" s="14">
        <v>135450</v>
      </c>
    </row>
    <row r="39" spans="1:6" ht="15.75" x14ac:dyDescent="0.5">
      <c r="A39" s="3" t="s">
        <v>552</v>
      </c>
      <c r="B39" s="3" t="s">
        <v>513</v>
      </c>
      <c r="C39" s="3" t="s">
        <v>514</v>
      </c>
      <c r="D39" s="3" t="s">
        <v>515</v>
      </c>
      <c r="E39" s="3" t="s">
        <v>517</v>
      </c>
      <c r="F39" s="14">
        <v>283930</v>
      </c>
    </row>
    <row r="40" spans="1:6" ht="15.75" x14ac:dyDescent="0.5">
      <c r="A40" s="3" t="s">
        <v>553</v>
      </c>
      <c r="B40" s="3" t="s">
        <v>528</v>
      </c>
      <c r="C40" s="3" t="s">
        <v>529</v>
      </c>
      <c r="D40" s="3" t="s">
        <v>515</v>
      </c>
      <c r="E40" s="3" t="s">
        <v>517</v>
      </c>
      <c r="F40" s="14">
        <v>364080</v>
      </c>
    </row>
    <row r="41" spans="1:6" ht="15.75" x14ac:dyDescent="0.5">
      <c r="A41" s="3" t="s">
        <v>554</v>
      </c>
      <c r="B41" s="3" t="s">
        <v>528</v>
      </c>
      <c r="C41" s="3" t="s">
        <v>529</v>
      </c>
      <c r="D41" s="3" t="s">
        <v>515</v>
      </c>
      <c r="E41" s="3" t="s">
        <v>517</v>
      </c>
      <c r="F41" s="14">
        <v>524440</v>
      </c>
    </row>
    <row r="42" spans="1:6" ht="15.75" x14ac:dyDescent="0.5">
      <c r="A42" s="3" t="s">
        <v>555</v>
      </c>
      <c r="B42" s="3" t="s">
        <v>528</v>
      </c>
      <c r="C42" s="3" t="s">
        <v>529</v>
      </c>
      <c r="D42" s="3" t="s">
        <v>515</v>
      </c>
      <c r="E42" s="3" t="s">
        <v>517</v>
      </c>
      <c r="F42" s="14">
        <v>335900</v>
      </c>
    </row>
    <row r="43" spans="1:6" ht="15.75" x14ac:dyDescent="0.5">
      <c r="A43" s="3" t="s">
        <v>555</v>
      </c>
      <c r="B43" s="3" t="s">
        <v>513</v>
      </c>
      <c r="C43" s="3" t="s">
        <v>514</v>
      </c>
      <c r="D43" s="3" t="s">
        <v>525</v>
      </c>
      <c r="E43" s="3" t="s">
        <v>516</v>
      </c>
      <c r="F43" s="14">
        <v>433689</v>
      </c>
    </row>
    <row r="44" spans="1:6" ht="15.75" x14ac:dyDescent="0.5">
      <c r="A44" s="3" t="s">
        <v>555</v>
      </c>
      <c r="B44" s="3" t="s">
        <v>538</v>
      </c>
      <c r="C44" s="3" t="s">
        <v>539</v>
      </c>
      <c r="D44" s="3" t="s">
        <v>540</v>
      </c>
      <c r="E44" s="3" t="s">
        <v>541</v>
      </c>
      <c r="F44" s="14">
        <v>349500</v>
      </c>
    </row>
    <row r="45" spans="1:6" ht="15.75" x14ac:dyDescent="0.5">
      <c r="A45" s="3" t="s">
        <v>547</v>
      </c>
      <c r="B45" s="3" t="s">
        <v>532</v>
      </c>
      <c r="C45" s="3" t="s">
        <v>533</v>
      </c>
      <c r="D45" s="3" t="s">
        <v>551</v>
      </c>
      <c r="E45" s="3" t="s">
        <v>535</v>
      </c>
      <c r="F45" s="14">
        <v>122575</v>
      </c>
    </row>
    <row r="46" spans="1:6" ht="15.75" x14ac:dyDescent="0.5">
      <c r="A46" s="3" t="s">
        <v>794</v>
      </c>
      <c r="B46" s="3" t="s">
        <v>519</v>
      </c>
      <c r="C46" s="3" t="s">
        <v>523</v>
      </c>
      <c r="D46" s="3" t="s">
        <v>521</v>
      </c>
      <c r="E46" s="3" t="s">
        <v>516</v>
      </c>
      <c r="F46" s="14">
        <v>262450</v>
      </c>
    </row>
    <row r="47" spans="1:6" ht="15.75" x14ac:dyDescent="0.5">
      <c r="A47" s="3" t="s">
        <v>794</v>
      </c>
      <c r="B47" s="3" t="s">
        <v>532</v>
      </c>
      <c r="C47" s="3" t="s">
        <v>533</v>
      </c>
      <c r="D47" s="3" t="s">
        <v>534</v>
      </c>
      <c r="E47" s="3" t="s">
        <v>535</v>
      </c>
      <c r="F47" s="14">
        <v>135450</v>
      </c>
    </row>
    <row r="48" spans="1:6" ht="15.75" x14ac:dyDescent="0.5">
      <c r="A48" s="3" t="s">
        <v>796</v>
      </c>
      <c r="B48" s="3" t="s">
        <v>513</v>
      </c>
      <c r="C48" s="3" t="s">
        <v>514</v>
      </c>
      <c r="D48" s="3" t="s">
        <v>515</v>
      </c>
      <c r="E48" s="3" t="s">
        <v>517</v>
      </c>
      <c r="F48" s="14">
        <v>283930</v>
      </c>
    </row>
    <row r="49" spans="1:6" ht="15.75" x14ac:dyDescent="0.5">
      <c r="A49" s="3" t="s">
        <v>796</v>
      </c>
      <c r="B49" s="3" t="s">
        <v>528</v>
      </c>
      <c r="C49" s="3" t="s">
        <v>529</v>
      </c>
      <c r="D49" s="3" t="s">
        <v>515</v>
      </c>
      <c r="E49" s="3" t="s">
        <v>516</v>
      </c>
      <c r="F49" s="14">
        <v>364080</v>
      </c>
    </row>
    <row r="50" spans="1:6" ht="15.75" x14ac:dyDescent="0.5">
      <c r="A50" s="3" t="s">
        <v>795</v>
      </c>
      <c r="B50" s="3" t="s">
        <v>528</v>
      </c>
      <c r="C50" s="3" t="s">
        <v>529</v>
      </c>
      <c r="D50" s="3" t="s">
        <v>515</v>
      </c>
      <c r="E50" s="3" t="s">
        <v>516</v>
      </c>
      <c r="F50" s="14">
        <v>524440</v>
      </c>
    </row>
    <row r="51" spans="1:6" ht="15.75" x14ac:dyDescent="0.5">
      <c r="A51" s="3" t="s">
        <v>547</v>
      </c>
      <c r="B51" s="3" t="s">
        <v>528</v>
      </c>
      <c r="C51" s="3" t="s">
        <v>529</v>
      </c>
      <c r="D51" s="3" t="s">
        <v>515</v>
      </c>
      <c r="E51" s="3" t="s">
        <v>516</v>
      </c>
      <c r="F51" s="14">
        <v>335900</v>
      </c>
    </row>
    <row r="52" spans="1:6" ht="15.75" x14ac:dyDescent="0.5">
      <c r="A52" s="3" t="s">
        <v>795</v>
      </c>
      <c r="B52" s="3" t="s">
        <v>513</v>
      </c>
      <c r="C52" s="3" t="s">
        <v>514</v>
      </c>
      <c r="D52" s="3" t="s">
        <v>525</v>
      </c>
      <c r="E52" s="3" t="s">
        <v>517</v>
      </c>
      <c r="F52" s="14">
        <v>433689</v>
      </c>
    </row>
    <row r="53" spans="1:6" ht="15.75" x14ac:dyDescent="0.5">
      <c r="A53" s="3" t="s">
        <v>795</v>
      </c>
      <c r="B53" s="3" t="s">
        <v>538</v>
      </c>
      <c r="C53" s="3" t="s">
        <v>539</v>
      </c>
      <c r="D53" s="3" t="s">
        <v>540</v>
      </c>
      <c r="E53" s="3" t="s">
        <v>541</v>
      </c>
      <c r="F53" s="14">
        <v>349500</v>
      </c>
    </row>
  </sheetData>
  <pageMargins left="0.7" right="0.7" top="0.75" bottom="0.75" header="0.3" footer="0.3"/>
  <drawing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dimension ref="A1:K58"/>
  <sheetViews>
    <sheetView workbookViewId="0">
      <selection activeCell="O25" sqref="O25"/>
    </sheetView>
  </sheetViews>
  <sheetFormatPr defaultRowHeight="14.25" x14ac:dyDescent="0.45"/>
  <cols>
    <col min="1" max="1" width="22.3984375" bestFit="1" customWidth="1"/>
    <col min="2" max="2" width="14.59765625" bestFit="1" customWidth="1"/>
    <col min="3" max="3" width="5" bestFit="1" customWidth="1"/>
    <col min="4" max="4" width="10.59765625" bestFit="1" customWidth="1"/>
    <col min="6" max="6" width="22.3984375" customWidth="1"/>
    <col min="9" max="9" width="14.73046875" customWidth="1"/>
    <col min="257" max="257" width="22.3984375" bestFit="1" customWidth="1"/>
    <col min="258" max="258" width="14.59765625" bestFit="1" customWidth="1"/>
    <col min="259" max="259" width="5" bestFit="1" customWidth="1"/>
    <col min="260" max="260" width="10.59765625" bestFit="1" customWidth="1"/>
    <col min="262" max="262" width="22.3984375" customWidth="1"/>
    <col min="265" max="265" width="14.73046875" customWidth="1"/>
    <col min="513" max="513" width="22.3984375" bestFit="1" customWidth="1"/>
    <col min="514" max="514" width="14.59765625" bestFit="1" customWidth="1"/>
    <col min="515" max="515" width="5" bestFit="1" customWidth="1"/>
    <col min="516" max="516" width="10.59765625" bestFit="1" customWidth="1"/>
    <col min="518" max="518" width="22.3984375" customWidth="1"/>
    <col min="521" max="521" width="14.73046875" customWidth="1"/>
    <col min="769" max="769" width="22.3984375" bestFit="1" customWidth="1"/>
    <col min="770" max="770" width="14.59765625" bestFit="1" customWidth="1"/>
    <col min="771" max="771" width="5" bestFit="1" customWidth="1"/>
    <col min="772" max="772" width="10.59765625" bestFit="1" customWidth="1"/>
    <col min="774" max="774" width="22.3984375" customWidth="1"/>
    <col min="777" max="777" width="14.73046875" customWidth="1"/>
    <col min="1025" max="1025" width="22.3984375" bestFit="1" customWidth="1"/>
    <col min="1026" max="1026" width="14.59765625" bestFit="1" customWidth="1"/>
    <col min="1027" max="1027" width="5" bestFit="1" customWidth="1"/>
    <col min="1028" max="1028" width="10.59765625" bestFit="1" customWidth="1"/>
    <col min="1030" max="1030" width="22.3984375" customWidth="1"/>
    <col min="1033" max="1033" width="14.73046875" customWidth="1"/>
    <col min="1281" max="1281" width="22.3984375" bestFit="1" customWidth="1"/>
    <col min="1282" max="1282" width="14.59765625" bestFit="1" customWidth="1"/>
    <col min="1283" max="1283" width="5" bestFit="1" customWidth="1"/>
    <col min="1284" max="1284" width="10.59765625" bestFit="1" customWidth="1"/>
    <col min="1286" max="1286" width="22.3984375" customWidth="1"/>
    <col min="1289" max="1289" width="14.73046875" customWidth="1"/>
    <col min="1537" max="1537" width="22.3984375" bestFit="1" customWidth="1"/>
    <col min="1538" max="1538" width="14.59765625" bestFit="1" customWidth="1"/>
    <col min="1539" max="1539" width="5" bestFit="1" customWidth="1"/>
    <col min="1540" max="1540" width="10.59765625" bestFit="1" customWidth="1"/>
    <col min="1542" max="1542" width="22.3984375" customWidth="1"/>
    <col min="1545" max="1545" width="14.73046875" customWidth="1"/>
    <col min="1793" max="1793" width="22.3984375" bestFit="1" customWidth="1"/>
    <col min="1794" max="1794" width="14.59765625" bestFit="1" customWidth="1"/>
    <col min="1795" max="1795" width="5" bestFit="1" customWidth="1"/>
    <col min="1796" max="1796" width="10.59765625" bestFit="1" customWidth="1"/>
    <col min="1798" max="1798" width="22.3984375" customWidth="1"/>
    <col min="1801" max="1801" width="14.73046875" customWidth="1"/>
    <col min="2049" max="2049" width="22.3984375" bestFit="1" customWidth="1"/>
    <col min="2050" max="2050" width="14.59765625" bestFit="1" customWidth="1"/>
    <col min="2051" max="2051" width="5" bestFit="1" customWidth="1"/>
    <col min="2052" max="2052" width="10.59765625" bestFit="1" customWidth="1"/>
    <col min="2054" max="2054" width="22.3984375" customWidth="1"/>
    <col min="2057" max="2057" width="14.73046875" customWidth="1"/>
    <col min="2305" max="2305" width="22.3984375" bestFit="1" customWidth="1"/>
    <col min="2306" max="2306" width="14.59765625" bestFit="1" customWidth="1"/>
    <col min="2307" max="2307" width="5" bestFit="1" customWidth="1"/>
    <col min="2308" max="2308" width="10.59765625" bestFit="1" customWidth="1"/>
    <col min="2310" max="2310" width="22.3984375" customWidth="1"/>
    <col min="2313" max="2313" width="14.73046875" customWidth="1"/>
    <col min="2561" max="2561" width="22.3984375" bestFit="1" customWidth="1"/>
    <col min="2562" max="2562" width="14.59765625" bestFit="1" customWidth="1"/>
    <col min="2563" max="2563" width="5" bestFit="1" customWidth="1"/>
    <col min="2564" max="2564" width="10.59765625" bestFit="1" customWidth="1"/>
    <col min="2566" max="2566" width="22.3984375" customWidth="1"/>
    <col min="2569" max="2569" width="14.73046875" customWidth="1"/>
    <col min="2817" max="2817" width="22.3984375" bestFit="1" customWidth="1"/>
    <col min="2818" max="2818" width="14.59765625" bestFit="1" customWidth="1"/>
    <col min="2819" max="2819" width="5" bestFit="1" customWidth="1"/>
    <col min="2820" max="2820" width="10.59765625" bestFit="1" customWidth="1"/>
    <col min="2822" max="2822" width="22.3984375" customWidth="1"/>
    <col min="2825" max="2825" width="14.73046875" customWidth="1"/>
    <col min="3073" max="3073" width="22.3984375" bestFit="1" customWidth="1"/>
    <col min="3074" max="3074" width="14.59765625" bestFit="1" customWidth="1"/>
    <col min="3075" max="3075" width="5" bestFit="1" customWidth="1"/>
    <col min="3076" max="3076" width="10.59765625" bestFit="1" customWidth="1"/>
    <col min="3078" max="3078" width="22.3984375" customWidth="1"/>
    <col min="3081" max="3081" width="14.73046875" customWidth="1"/>
    <col min="3329" max="3329" width="22.3984375" bestFit="1" customWidth="1"/>
    <col min="3330" max="3330" width="14.59765625" bestFit="1" customWidth="1"/>
    <col min="3331" max="3331" width="5" bestFit="1" customWidth="1"/>
    <col min="3332" max="3332" width="10.59765625" bestFit="1" customWidth="1"/>
    <col min="3334" max="3334" width="22.3984375" customWidth="1"/>
    <col min="3337" max="3337" width="14.73046875" customWidth="1"/>
    <col min="3585" max="3585" width="22.3984375" bestFit="1" customWidth="1"/>
    <col min="3586" max="3586" width="14.59765625" bestFit="1" customWidth="1"/>
    <col min="3587" max="3587" width="5" bestFit="1" customWidth="1"/>
    <col min="3588" max="3588" width="10.59765625" bestFit="1" customWidth="1"/>
    <col min="3590" max="3590" width="22.3984375" customWidth="1"/>
    <col min="3593" max="3593" width="14.73046875" customWidth="1"/>
    <col min="3841" max="3841" width="22.3984375" bestFit="1" customWidth="1"/>
    <col min="3842" max="3842" width="14.59765625" bestFit="1" customWidth="1"/>
    <col min="3843" max="3843" width="5" bestFit="1" customWidth="1"/>
    <col min="3844" max="3844" width="10.59765625" bestFit="1" customWidth="1"/>
    <col min="3846" max="3846" width="22.3984375" customWidth="1"/>
    <col min="3849" max="3849" width="14.73046875" customWidth="1"/>
    <col min="4097" max="4097" width="22.3984375" bestFit="1" customWidth="1"/>
    <col min="4098" max="4098" width="14.59765625" bestFit="1" customWidth="1"/>
    <col min="4099" max="4099" width="5" bestFit="1" customWidth="1"/>
    <col min="4100" max="4100" width="10.59765625" bestFit="1" customWidth="1"/>
    <col min="4102" max="4102" width="22.3984375" customWidth="1"/>
    <col min="4105" max="4105" width="14.73046875" customWidth="1"/>
    <col min="4353" max="4353" width="22.3984375" bestFit="1" customWidth="1"/>
    <col min="4354" max="4354" width="14.59765625" bestFit="1" customWidth="1"/>
    <col min="4355" max="4355" width="5" bestFit="1" customWidth="1"/>
    <col min="4356" max="4356" width="10.59765625" bestFit="1" customWidth="1"/>
    <col min="4358" max="4358" width="22.3984375" customWidth="1"/>
    <col min="4361" max="4361" width="14.73046875" customWidth="1"/>
    <col min="4609" max="4609" width="22.3984375" bestFit="1" customWidth="1"/>
    <col min="4610" max="4610" width="14.59765625" bestFit="1" customWidth="1"/>
    <col min="4611" max="4611" width="5" bestFit="1" customWidth="1"/>
    <col min="4612" max="4612" width="10.59765625" bestFit="1" customWidth="1"/>
    <col min="4614" max="4614" width="22.3984375" customWidth="1"/>
    <col min="4617" max="4617" width="14.73046875" customWidth="1"/>
    <col min="4865" max="4865" width="22.3984375" bestFit="1" customWidth="1"/>
    <col min="4866" max="4866" width="14.59765625" bestFit="1" customWidth="1"/>
    <col min="4867" max="4867" width="5" bestFit="1" customWidth="1"/>
    <col min="4868" max="4868" width="10.59765625" bestFit="1" customWidth="1"/>
    <col min="4870" max="4870" width="22.3984375" customWidth="1"/>
    <col min="4873" max="4873" width="14.73046875" customWidth="1"/>
    <col min="5121" max="5121" width="22.3984375" bestFit="1" customWidth="1"/>
    <col min="5122" max="5122" width="14.59765625" bestFit="1" customWidth="1"/>
    <col min="5123" max="5123" width="5" bestFit="1" customWidth="1"/>
    <col min="5124" max="5124" width="10.59765625" bestFit="1" customWidth="1"/>
    <col min="5126" max="5126" width="22.3984375" customWidth="1"/>
    <col min="5129" max="5129" width="14.73046875" customWidth="1"/>
    <col min="5377" max="5377" width="22.3984375" bestFit="1" customWidth="1"/>
    <col min="5378" max="5378" width="14.59765625" bestFit="1" customWidth="1"/>
    <col min="5379" max="5379" width="5" bestFit="1" customWidth="1"/>
    <col min="5380" max="5380" width="10.59765625" bestFit="1" customWidth="1"/>
    <col min="5382" max="5382" width="22.3984375" customWidth="1"/>
    <col min="5385" max="5385" width="14.73046875" customWidth="1"/>
    <col min="5633" max="5633" width="22.3984375" bestFit="1" customWidth="1"/>
    <col min="5634" max="5634" width="14.59765625" bestFit="1" customWidth="1"/>
    <col min="5635" max="5635" width="5" bestFit="1" customWidth="1"/>
    <col min="5636" max="5636" width="10.59765625" bestFit="1" customWidth="1"/>
    <col min="5638" max="5638" width="22.3984375" customWidth="1"/>
    <col min="5641" max="5641" width="14.73046875" customWidth="1"/>
    <col min="5889" max="5889" width="22.3984375" bestFit="1" customWidth="1"/>
    <col min="5890" max="5890" width="14.59765625" bestFit="1" customWidth="1"/>
    <col min="5891" max="5891" width="5" bestFit="1" customWidth="1"/>
    <col min="5892" max="5892" width="10.59765625" bestFit="1" customWidth="1"/>
    <col min="5894" max="5894" width="22.3984375" customWidth="1"/>
    <col min="5897" max="5897" width="14.73046875" customWidth="1"/>
    <col min="6145" max="6145" width="22.3984375" bestFit="1" customWidth="1"/>
    <col min="6146" max="6146" width="14.59765625" bestFit="1" customWidth="1"/>
    <col min="6147" max="6147" width="5" bestFit="1" customWidth="1"/>
    <col min="6148" max="6148" width="10.59765625" bestFit="1" customWidth="1"/>
    <col min="6150" max="6150" width="22.3984375" customWidth="1"/>
    <col min="6153" max="6153" width="14.73046875" customWidth="1"/>
    <col min="6401" max="6401" width="22.3984375" bestFit="1" customWidth="1"/>
    <col min="6402" max="6402" width="14.59765625" bestFit="1" customWidth="1"/>
    <col min="6403" max="6403" width="5" bestFit="1" customWidth="1"/>
    <col min="6404" max="6404" width="10.59765625" bestFit="1" customWidth="1"/>
    <col min="6406" max="6406" width="22.3984375" customWidth="1"/>
    <col min="6409" max="6409" width="14.73046875" customWidth="1"/>
    <col min="6657" max="6657" width="22.3984375" bestFit="1" customWidth="1"/>
    <col min="6658" max="6658" width="14.59765625" bestFit="1" customWidth="1"/>
    <col min="6659" max="6659" width="5" bestFit="1" customWidth="1"/>
    <col min="6660" max="6660" width="10.59765625" bestFit="1" customWidth="1"/>
    <col min="6662" max="6662" width="22.3984375" customWidth="1"/>
    <col min="6665" max="6665" width="14.73046875" customWidth="1"/>
    <col min="6913" max="6913" width="22.3984375" bestFit="1" customWidth="1"/>
    <col min="6914" max="6914" width="14.59765625" bestFit="1" customWidth="1"/>
    <col min="6915" max="6915" width="5" bestFit="1" customWidth="1"/>
    <col min="6916" max="6916" width="10.59765625" bestFit="1" customWidth="1"/>
    <col min="6918" max="6918" width="22.3984375" customWidth="1"/>
    <col min="6921" max="6921" width="14.73046875" customWidth="1"/>
    <col min="7169" max="7169" width="22.3984375" bestFit="1" customWidth="1"/>
    <col min="7170" max="7170" width="14.59765625" bestFit="1" customWidth="1"/>
    <col min="7171" max="7171" width="5" bestFit="1" customWidth="1"/>
    <col min="7172" max="7172" width="10.59765625" bestFit="1" customWidth="1"/>
    <col min="7174" max="7174" width="22.3984375" customWidth="1"/>
    <col min="7177" max="7177" width="14.73046875" customWidth="1"/>
    <col min="7425" max="7425" width="22.3984375" bestFit="1" customWidth="1"/>
    <col min="7426" max="7426" width="14.59765625" bestFit="1" customWidth="1"/>
    <col min="7427" max="7427" width="5" bestFit="1" customWidth="1"/>
    <col min="7428" max="7428" width="10.59765625" bestFit="1" customWidth="1"/>
    <col min="7430" max="7430" width="22.3984375" customWidth="1"/>
    <col min="7433" max="7433" width="14.73046875" customWidth="1"/>
    <col min="7681" max="7681" width="22.3984375" bestFit="1" customWidth="1"/>
    <col min="7682" max="7682" width="14.59765625" bestFit="1" customWidth="1"/>
    <col min="7683" max="7683" width="5" bestFit="1" customWidth="1"/>
    <col min="7684" max="7684" width="10.59765625" bestFit="1" customWidth="1"/>
    <col min="7686" max="7686" width="22.3984375" customWidth="1"/>
    <col min="7689" max="7689" width="14.73046875" customWidth="1"/>
    <col min="7937" max="7937" width="22.3984375" bestFit="1" customWidth="1"/>
    <col min="7938" max="7938" width="14.59765625" bestFit="1" customWidth="1"/>
    <col min="7939" max="7939" width="5" bestFit="1" customWidth="1"/>
    <col min="7940" max="7940" width="10.59765625" bestFit="1" customWidth="1"/>
    <col min="7942" max="7942" width="22.3984375" customWidth="1"/>
    <col min="7945" max="7945" width="14.73046875" customWidth="1"/>
    <col min="8193" max="8193" width="22.3984375" bestFit="1" customWidth="1"/>
    <col min="8194" max="8194" width="14.59765625" bestFit="1" customWidth="1"/>
    <col min="8195" max="8195" width="5" bestFit="1" customWidth="1"/>
    <col min="8196" max="8196" width="10.59765625" bestFit="1" customWidth="1"/>
    <col min="8198" max="8198" width="22.3984375" customWidth="1"/>
    <col min="8201" max="8201" width="14.73046875" customWidth="1"/>
    <col min="8449" max="8449" width="22.3984375" bestFit="1" customWidth="1"/>
    <col min="8450" max="8450" width="14.59765625" bestFit="1" customWidth="1"/>
    <col min="8451" max="8451" width="5" bestFit="1" customWidth="1"/>
    <col min="8452" max="8452" width="10.59765625" bestFit="1" customWidth="1"/>
    <col min="8454" max="8454" width="22.3984375" customWidth="1"/>
    <col min="8457" max="8457" width="14.73046875" customWidth="1"/>
    <col min="8705" max="8705" width="22.3984375" bestFit="1" customWidth="1"/>
    <col min="8706" max="8706" width="14.59765625" bestFit="1" customWidth="1"/>
    <col min="8707" max="8707" width="5" bestFit="1" customWidth="1"/>
    <col min="8708" max="8708" width="10.59765625" bestFit="1" customWidth="1"/>
    <col min="8710" max="8710" width="22.3984375" customWidth="1"/>
    <col min="8713" max="8713" width="14.73046875" customWidth="1"/>
    <col min="8961" max="8961" width="22.3984375" bestFit="1" customWidth="1"/>
    <col min="8962" max="8962" width="14.59765625" bestFit="1" customWidth="1"/>
    <col min="8963" max="8963" width="5" bestFit="1" customWidth="1"/>
    <col min="8964" max="8964" width="10.59765625" bestFit="1" customWidth="1"/>
    <col min="8966" max="8966" width="22.3984375" customWidth="1"/>
    <col min="8969" max="8969" width="14.73046875" customWidth="1"/>
    <col min="9217" max="9217" width="22.3984375" bestFit="1" customWidth="1"/>
    <col min="9218" max="9218" width="14.59765625" bestFit="1" customWidth="1"/>
    <col min="9219" max="9219" width="5" bestFit="1" customWidth="1"/>
    <col min="9220" max="9220" width="10.59765625" bestFit="1" customWidth="1"/>
    <col min="9222" max="9222" width="22.3984375" customWidth="1"/>
    <col min="9225" max="9225" width="14.73046875" customWidth="1"/>
    <col min="9473" max="9473" width="22.3984375" bestFit="1" customWidth="1"/>
    <col min="9474" max="9474" width="14.59765625" bestFit="1" customWidth="1"/>
    <col min="9475" max="9475" width="5" bestFit="1" customWidth="1"/>
    <col min="9476" max="9476" width="10.59765625" bestFit="1" customWidth="1"/>
    <col min="9478" max="9478" width="22.3984375" customWidth="1"/>
    <col min="9481" max="9481" width="14.73046875" customWidth="1"/>
    <col min="9729" max="9729" width="22.3984375" bestFit="1" customWidth="1"/>
    <col min="9730" max="9730" width="14.59765625" bestFit="1" customWidth="1"/>
    <col min="9731" max="9731" width="5" bestFit="1" customWidth="1"/>
    <col min="9732" max="9732" width="10.59765625" bestFit="1" customWidth="1"/>
    <col min="9734" max="9734" width="22.3984375" customWidth="1"/>
    <col min="9737" max="9737" width="14.73046875" customWidth="1"/>
    <col min="9985" max="9985" width="22.3984375" bestFit="1" customWidth="1"/>
    <col min="9986" max="9986" width="14.59765625" bestFit="1" customWidth="1"/>
    <col min="9987" max="9987" width="5" bestFit="1" customWidth="1"/>
    <col min="9988" max="9988" width="10.59765625" bestFit="1" customWidth="1"/>
    <col min="9990" max="9990" width="22.3984375" customWidth="1"/>
    <col min="9993" max="9993" width="14.73046875" customWidth="1"/>
    <col min="10241" max="10241" width="22.3984375" bestFit="1" customWidth="1"/>
    <col min="10242" max="10242" width="14.59765625" bestFit="1" customWidth="1"/>
    <col min="10243" max="10243" width="5" bestFit="1" customWidth="1"/>
    <col min="10244" max="10244" width="10.59765625" bestFit="1" customWidth="1"/>
    <col min="10246" max="10246" width="22.3984375" customWidth="1"/>
    <col min="10249" max="10249" width="14.73046875" customWidth="1"/>
    <col min="10497" max="10497" width="22.3984375" bestFit="1" customWidth="1"/>
    <col min="10498" max="10498" width="14.59765625" bestFit="1" customWidth="1"/>
    <col min="10499" max="10499" width="5" bestFit="1" customWidth="1"/>
    <col min="10500" max="10500" width="10.59765625" bestFit="1" customWidth="1"/>
    <col min="10502" max="10502" width="22.3984375" customWidth="1"/>
    <col min="10505" max="10505" width="14.73046875" customWidth="1"/>
    <col min="10753" max="10753" width="22.3984375" bestFit="1" customWidth="1"/>
    <col min="10754" max="10754" width="14.59765625" bestFit="1" customWidth="1"/>
    <col min="10755" max="10755" width="5" bestFit="1" customWidth="1"/>
    <col min="10756" max="10756" width="10.59765625" bestFit="1" customWidth="1"/>
    <col min="10758" max="10758" width="22.3984375" customWidth="1"/>
    <col min="10761" max="10761" width="14.73046875" customWidth="1"/>
    <col min="11009" max="11009" width="22.3984375" bestFit="1" customWidth="1"/>
    <col min="11010" max="11010" width="14.59765625" bestFit="1" customWidth="1"/>
    <col min="11011" max="11011" width="5" bestFit="1" customWidth="1"/>
    <col min="11012" max="11012" width="10.59765625" bestFit="1" customWidth="1"/>
    <col min="11014" max="11014" width="22.3984375" customWidth="1"/>
    <col min="11017" max="11017" width="14.73046875" customWidth="1"/>
    <col min="11265" max="11265" width="22.3984375" bestFit="1" customWidth="1"/>
    <col min="11266" max="11266" width="14.59765625" bestFit="1" customWidth="1"/>
    <col min="11267" max="11267" width="5" bestFit="1" customWidth="1"/>
    <col min="11268" max="11268" width="10.59765625" bestFit="1" customWidth="1"/>
    <col min="11270" max="11270" width="22.3984375" customWidth="1"/>
    <col min="11273" max="11273" width="14.73046875" customWidth="1"/>
    <col min="11521" max="11521" width="22.3984375" bestFit="1" customWidth="1"/>
    <col min="11522" max="11522" width="14.59765625" bestFit="1" customWidth="1"/>
    <col min="11523" max="11523" width="5" bestFit="1" customWidth="1"/>
    <col min="11524" max="11524" width="10.59765625" bestFit="1" customWidth="1"/>
    <col min="11526" max="11526" width="22.3984375" customWidth="1"/>
    <col min="11529" max="11529" width="14.73046875" customWidth="1"/>
    <col min="11777" max="11777" width="22.3984375" bestFit="1" customWidth="1"/>
    <col min="11778" max="11778" width="14.59765625" bestFit="1" customWidth="1"/>
    <col min="11779" max="11779" width="5" bestFit="1" customWidth="1"/>
    <col min="11780" max="11780" width="10.59765625" bestFit="1" customWidth="1"/>
    <col min="11782" max="11782" width="22.3984375" customWidth="1"/>
    <col min="11785" max="11785" width="14.73046875" customWidth="1"/>
    <col min="12033" max="12033" width="22.3984375" bestFit="1" customWidth="1"/>
    <col min="12034" max="12034" width="14.59765625" bestFit="1" customWidth="1"/>
    <col min="12035" max="12035" width="5" bestFit="1" customWidth="1"/>
    <col min="12036" max="12036" width="10.59765625" bestFit="1" customWidth="1"/>
    <col min="12038" max="12038" width="22.3984375" customWidth="1"/>
    <col min="12041" max="12041" width="14.73046875" customWidth="1"/>
    <col min="12289" max="12289" width="22.3984375" bestFit="1" customWidth="1"/>
    <col min="12290" max="12290" width="14.59765625" bestFit="1" customWidth="1"/>
    <col min="12291" max="12291" width="5" bestFit="1" customWidth="1"/>
    <col min="12292" max="12292" width="10.59765625" bestFit="1" customWidth="1"/>
    <col min="12294" max="12294" width="22.3984375" customWidth="1"/>
    <col min="12297" max="12297" width="14.73046875" customWidth="1"/>
    <col min="12545" max="12545" width="22.3984375" bestFit="1" customWidth="1"/>
    <col min="12546" max="12546" width="14.59765625" bestFit="1" customWidth="1"/>
    <col min="12547" max="12547" width="5" bestFit="1" customWidth="1"/>
    <col min="12548" max="12548" width="10.59765625" bestFit="1" customWidth="1"/>
    <col min="12550" max="12550" width="22.3984375" customWidth="1"/>
    <col min="12553" max="12553" width="14.73046875" customWidth="1"/>
    <col min="12801" max="12801" width="22.3984375" bestFit="1" customWidth="1"/>
    <col min="12802" max="12802" width="14.59765625" bestFit="1" customWidth="1"/>
    <col min="12803" max="12803" width="5" bestFit="1" customWidth="1"/>
    <col min="12804" max="12804" width="10.59765625" bestFit="1" customWidth="1"/>
    <col min="12806" max="12806" width="22.3984375" customWidth="1"/>
    <col min="12809" max="12809" width="14.73046875" customWidth="1"/>
    <col min="13057" max="13057" width="22.3984375" bestFit="1" customWidth="1"/>
    <col min="13058" max="13058" width="14.59765625" bestFit="1" customWidth="1"/>
    <col min="13059" max="13059" width="5" bestFit="1" customWidth="1"/>
    <col min="13060" max="13060" width="10.59765625" bestFit="1" customWidth="1"/>
    <col min="13062" max="13062" width="22.3984375" customWidth="1"/>
    <col min="13065" max="13065" width="14.73046875" customWidth="1"/>
    <col min="13313" max="13313" width="22.3984375" bestFit="1" customWidth="1"/>
    <col min="13314" max="13314" width="14.59765625" bestFit="1" customWidth="1"/>
    <col min="13315" max="13315" width="5" bestFit="1" customWidth="1"/>
    <col min="13316" max="13316" width="10.59765625" bestFit="1" customWidth="1"/>
    <col min="13318" max="13318" width="22.3984375" customWidth="1"/>
    <col min="13321" max="13321" width="14.73046875" customWidth="1"/>
    <col min="13569" max="13569" width="22.3984375" bestFit="1" customWidth="1"/>
    <col min="13570" max="13570" width="14.59765625" bestFit="1" customWidth="1"/>
    <col min="13571" max="13571" width="5" bestFit="1" customWidth="1"/>
    <col min="13572" max="13572" width="10.59765625" bestFit="1" customWidth="1"/>
    <col min="13574" max="13574" width="22.3984375" customWidth="1"/>
    <col min="13577" max="13577" width="14.73046875" customWidth="1"/>
    <col min="13825" max="13825" width="22.3984375" bestFit="1" customWidth="1"/>
    <col min="13826" max="13826" width="14.59765625" bestFit="1" customWidth="1"/>
    <col min="13827" max="13827" width="5" bestFit="1" customWidth="1"/>
    <col min="13828" max="13828" width="10.59765625" bestFit="1" customWidth="1"/>
    <col min="13830" max="13830" width="22.3984375" customWidth="1"/>
    <col min="13833" max="13833" width="14.73046875" customWidth="1"/>
    <col min="14081" max="14081" width="22.3984375" bestFit="1" customWidth="1"/>
    <col min="14082" max="14082" width="14.59765625" bestFit="1" customWidth="1"/>
    <col min="14083" max="14083" width="5" bestFit="1" customWidth="1"/>
    <col min="14084" max="14084" width="10.59765625" bestFit="1" customWidth="1"/>
    <col min="14086" max="14086" width="22.3984375" customWidth="1"/>
    <col min="14089" max="14089" width="14.73046875" customWidth="1"/>
    <col min="14337" max="14337" width="22.3984375" bestFit="1" customWidth="1"/>
    <col min="14338" max="14338" width="14.59765625" bestFit="1" customWidth="1"/>
    <col min="14339" max="14339" width="5" bestFit="1" customWidth="1"/>
    <col min="14340" max="14340" width="10.59765625" bestFit="1" customWidth="1"/>
    <col min="14342" max="14342" width="22.3984375" customWidth="1"/>
    <col min="14345" max="14345" width="14.73046875" customWidth="1"/>
    <col min="14593" max="14593" width="22.3984375" bestFit="1" customWidth="1"/>
    <col min="14594" max="14594" width="14.59765625" bestFit="1" customWidth="1"/>
    <col min="14595" max="14595" width="5" bestFit="1" customWidth="1"/>
    <col min="14596" max="14596" width="10.59765625" bestFit="1" customWidth="1"/>
    <col min="14598" max="14598" width="22.3984375" customWidth="1"/>
    <col min="14601" max="14601" width="14.73046875" customWidth="1"/>
    <col min="14849" max="14849" width="22.3984375" bestFit="1" customWidth="1"/>
    <col min="14850" max="14850" width="14.59765625" bestFit="1" customWidth="1"/>
    <col min="14851" max="14851" width="5" bestFit="1" customWidth="1"/>
    <col min="14852" max="14852" width="10.59765625" bestFit="1" customWidth="1"/>
    <col min="14854" max="14854" width="22.3984375" customWidth="1"/>
    <col min="14857" max="14857" width="14.73046875" customWidth="1"/>
    <col min="15105" max="15105" width="22.3984375" bestFit="1" customWidth="1"/>
    <col min="15106" max="15106" width="14.59765625" bestFit="1" customWidth="1"/>
    <col min="15107" max="15107" width="5" bestFit="1" customWidth="1"/>
    <col min="15108" max="15108" width="10.59765625" bestFit="1" customWidth="1"/>
    <col min="15110" max="15110" width="22.3984375" customWidth="1"/>
    <col min="15113" max="15113" width="14.73046875" customWidth="1"/>
    <col min="15361" max="15361" width="22.3984375" bestFit="1" customWidth="1"/>
    <col min="15362" max="15362" width="14.59765625" bestFit="1" customWidth="1"/>
    <col min="15363" max="15363" width="5" bestFit="1" customWidth="1"/>
    <col min="15364" max="15364" width="10.59765625" bestFit="1" customWidth="1"/>
    <col min="15366" max="15366" width="22.3984375" customWidth="1"/>
    <col min="15369" max="15369" width="14.73046875" customWidth="1"/>
    <col min="15617" max="15617" width="22.3984375" bestFit="1" customWidth="1"/>
    <col min="15618" max="15618" width="14.59765625" bestFit="1" customWidth="1"/>
    <col min="15619" max="15619" width="5" bestFit="1" customWidth="1"/>
    <col min="15620" max="15620" width="10.59765625" bestFit="1" customWidth="1"/>
    <col min="15622" max="15622" width="22.3984375" customWidth="1"/>
    <col min="15625" max="15625" width="14.73046875" customWidth="1"/>
    <col min="15873" max="15873" width="22.3984375" bestFit="1" customWidth="1"/>
    <col min="15874" max="15874" width="14.59765625" bestFit="1" customWidth="1"/>
    <col min="15875" max="15875" width="5" bestFit="1" customWidth="1"/>
    <col min="15876" max="15876" width="10.59765625" bestFit="1" customWidth="1"/>
    <col min="15878" max="15878" width="22.3984375" customWidth="1"/>
    <col min="15881" max="15881" width="14.73046875" customWidth="1"/>
    <col min="16129" max="16129" width="22.3984375" bestFit="1" customWidth="1"/>
    <col min="16130" max="16130" width="14.59765625" bestFit="1" customWidth="1"/>
    <col min="16131" max="16131" width="5" bestFit="1" customWidth="1"/>
    <col min="16132" max="16132" width="10.59765625" bestFit="1" customWidth="1"/>
    <col min="16134" max="16134" width="22.3984375" customWidth="1"/>
    <col min="16137" max="16137" width="14.73046875" customWidth="1"/>
  </cols>
  <sheetData>
    <row r="1" spans="1:9" ht="21" x14ac:dyDescent="0.65">
      <c r="A1" s="57" t="s">
        <v>1013</v>
      </c>
    </row>
    <row r="3" spans="1:9" x14ac:dyDescent="0.45">
      <c r="A3" s="322" t="s">
        <v>1014</v>
      </c>
      <c r="F3" s="322" t="s">
        <v>1308</v>
      </c>
    </row>
    <row r="4" spans="1:9" s="132" customFormat="1" x14ac:dyDescent="0.45">
      <c r="A4" s="323" t="s">
        <v>1015</v>
      </c>
      <c r="B4" s="323" t="s">
        <v>1016</v>
      </c>
      <c r="C4" s="323" t="s">
        <v>509</v>
      </c>
      <c r="D4" s="323" t="s">
        <v>1017</v>
      </c>
      <c r="F4" s="323" t="s">
        <v>1015</v>
      </c>
      <c r="G4" s="323" t="s">
        <v>1016</v>
      </c>
      <c r="H4" s="323" t="s">
        <v>509</v>
      </c>
      <c r="I4" s="323" t="s">
        <v>1017</v>
      </c>
    </row>
    <row r="5" spans="1:9" ht="15" customHeight="1" x14ac:dyDescent="0.45">
      <c r="A5" s="324" t="s">
        <v>1018</v>
      </c>
      <c r="B5" s="325" t="s">
        <v>1019</v>
      </c>
      <c r="C5" s="325" t="s">
        <v>1020</v>
      </c>
      <c r="D5" s="325" t="s">
        <v>1021</v>
      </c>
      <c r="F5" s="326" t="s">
        <v>1022</v>
      </c>
      <c r="G5" s="325" t="s">
        <v>1023</v>
      </c>
      <c r="H5" s="325" t="s">
        <v>1020</v>
      </c>
      <c r="I5" s="325" t="s">
        <v>1024</v>
      </c>
    </row>
    <row r="6" spans="1:9" ht="15" customHeight="1" x14ac:dyDescent="0.45">
      <c r="A6" s="324" t="s">
        <v>1025</v>
      </c>
      <c r="B6" s="325" t="s">
        <v>1026</v>
      </c>
      <c r="C6" s="325" t="s">
        <v>1020</v>
      </c>
      <c r="D6" s="325" t="s">
        <v>1027</v>
      </c>
      <c r="F6" s="326" t="s">
        <v>1028</v>
      </c>
      <c r="G6" s="325" t="s">
        <v>1029</v>
      </c>
      <c r="H6" s="325" t="s">
        <v>1020</v>
      </c>
      <c r="I6" s="325" t="s">
        <v>1030</v>
      </c>
    </row>
    <row r="7" spans="1:9" ht="15" customHeight="1" x14ac:dyDescent="0.45">
      <c r="A7" s="324" t="s">
        <v>1031</v>
      </c>
      <c r="B7" s="325" t="s">
        <v>1032</v>
      </c>
      <c r="C7" s="325" t="s">
        <v>1020</v>
      </c>
      <c r="D7" s="325" t="s">
        <v>1033</v>
      </c>
      <c r="F7" s="326" t="s">
        <v>1034</v>
      </c>
      <c r="G7" s="325" t="s">
        <v>1035</v>
      </c>
      <c r="H7" s="325" t="s">
        <v>1020</v>
      </c>
      <c r="I7" s="325" t="s">
        <v>1036</v>
      </c>
    </row>
    <row r="8" spans="1:9" ht="15" customHeight="1" x14ac:dyDescent="0.45">
      <c r="A8" s="324" t="s">
        <v>1037</v>
      </c>
      <c r="B8" s="325" t="s">
        <v>1038</v>
      </c>
      <c r="C8" s="325" t="s">
        <v>1020</v>
      </c>
      <c r="D8" s="325" t="s">
        <v>1039</v>
      </c>
      <c r="F8" s="326" t="s">
        <v>1040</v>
      </c>
      <c r="G8" s="325" t="s">
        <v>1041</v>
      </c>
      <c r="H8" s="325" t="s">
        <v>1020</v>
      </c>
      <c r="I8" s="325" t="s">
        <v>1042</v>
      </c>
    </row>
    <row r="9" spans="1:9" ht="15" customHeight="1" x14ac:dyDescent="0.45">
      <c r="A9" s="324" t="s">
        <v>1043</v>
      </c>
      <c r="B9" s="325" t="s">
        <v>1044</v>
      </c>
      <c r="C9" s="325" t="s">
        <v>1020</v>
      </c>
      <c r="D9" s="325" t="s">
        <v>1045</v>
      </c>
      <c r="F9" s="326" t="s">
        <v>1046</v>
      </c>
      <c r="G9" s="325" t="s">
        <v>1047</v>
      </c>
      <c r="H9" s="325" t="s">
        <v>1020</v>
      </c>
      <c r="I9" s="325" t="s">
        <v>1048</v>
      </c>
    </row>
    <row r="10" spans="1:9" ht="15" customHeight="1" x14ac:dyDescent="0.45">
      <c r="A10" s="324" t="s">
        <v>1049</v>
      </c>
      <c r="B10" s="325" t="s">
        <v>1050</v>
      </c>
      <c r="C10" s="325" t="s">
        <v>1020</v>
      </c>
      <c r="D10" s="325" t="s">
        <v>1051</v>
      </c>
      <c r="F10" s="326" t="s">
        <v>1066</v>
      </c>
      <c r="G10" s="325" t="s">
        <v>1067</v>
      </c>
      <c r="H10" s="325" t="s">
        <v>1020</v>
      </c>
      <c r="I10" s="325" t="s">
        <v>1048</v>
      </c>
    </row>
    <row r="11" spans="1:9" ht="15" customHeight="1" x14ac:dyDescent="0.45">
      <c r="A11" s="324" t="s">
        <v>1054</v>
      </c>
      <c r="B11" s="325" t="s">
        <v>1055</v>
      </c>
      <c r="C11" s="325" t="s">
        <v>1020</v>
      </c>
      <c r="D11" s="325" t="s">
        <v>1056</v>
      </c>
      <c r="F11" s="326" t="s">
        <v>1057</v>
      </c>
      <c r="G11" s="325" t="s">
        <v>1058</v>
      </c>
      <c r="H11" s="325" t="s">
        <v>1020</v>
      </c>
      <c r="I11" s="325" t="s">
        <v>1059</v>
      </c>
    </row>
    <row r="12" spans="1:9" ht="15" customHeight="1" x14ac:dyDescent="0.45">
      <c r="A12" s="324" t="s">
        <v>1060</v>
      </c>
      <c r="B12" s="325" t="s">
        <v>1061</v>
      </c>
      <c r="C12" s="325" t="s">
        <v>1020</v>
      </c>
      <c r="D12" s="325" t="s">
        <v>1062</v>
      </c>
      <c r="F12" s="326" t="s">
        <v>1063</v>
      </c>
      <c r="G12" s="325" t="s">
        <v>1064</v>
      </c>
      <c r="H12" s="325" t="s">
        <v>1020</v>
      </c>
      <c r="I12" s="325" t="s">
        <v>1065</v>
      </c>
    </row>
    <row r="13" spans="1:9" ht="15" customHeight="1" x14ac:dyDescent="0.45">
      <c r="A13" s="324" t="s">
        <v>1066</v>
      </c>
      <c r="B13" s="325" t="s">
        <v>1067</v>
      </c>
      <c r="C13" s="325" t="s">
        <v>1020</v>
      </c>
      <c r="D13" s="325" t="s">
        <v>1068</v>
      </c>
      <c r="F13" s="326" t="s">
        <v>1069</v>
      </c>
      <c r="G13" s="325" t="s">
        <v>1070</v>
      </c>
      <c r="H13" s="325" t="s">
        <v>1020</v>
      </c>
      <c r="I13" s="325" t="s">
        <v>1071</v>
      </c>
    </row>
    <row r="14" spans="1:9" ht="15" customHeight="1" x14ac:dyDescent="0.45">
      <c r="A14" s="324" t="s">
        <v>1072</v>
      </c>
      <c r="B14" s="325" t="s">
        <v>1073</v>
      </c>
      <c r="C14" s="325" t="s">
        <v>1020</v>
      </c>
      <c r="D14" s="325" t="s">
        <v>1074</v>
      </c>
      <c r="F14" s="326" t="s">
        <v>1075</v>
      </c>
      <c r="G14" s="325" t="s">
        <v>1070</v>
      </c>
      <c r="H14" s="325" t="s">
        <v>1020</v>
      </c>
      <c r="I14" s="325" t="s">
        <v>1076</v>
      </c>
    </row>
    <row r="15" spans="1:9" ht="15" customHeight="1" x14ac:dyDescent="0.45">
      <c r="A15" s="324" t="s">
        <v>1077</v>
      </c>
      <c r="B15" s="325" t="s">
        <v>1078</v>
      </c>
      <c r="C15" s="325" t="s">
        <v>1020</v>
      </c>
      <c r="D15" s="325" t="s">
        <v>1079</v>
      </c>
      <c r="F15" s="326" t="s">
        <v>1080</v>
      </c>
      <c r="G15" s="325" t="s">
        <v>1081</v>
      </c>
      <c r="H15" s="325" t="s">
        <v>1020</v>
      </c>
      <c r="I15" s="325" t="s">
        <v>1082</v>
      </c>
    </row>
    <row r="16" spans="1:9" ht="15" customHeight="1" x14ac:dyDescent="0.45">
      <c r="A16" s="324" t="s">
        <v>1083</v>
      </c>
      <c r="B16" s="325" t="s">
        <v>1084</v>
      </c>
      <c r="C16" s="325" t="s">
        <v>1020</v>
      </c>
      <c r="D16" s="325" t="s">
        <v>1085</v>
      </c>
      <c r="F16" s="326" t="s">
        <v>1086</v>
      </c>
      <c r="G16" s="325" t="s">
        <v>1087</v>
      </c>
      <c r="H16" s="325" t="s">
        <v>1020</v>
      </c>
      <c r="I16" s="325" t="s">
        <v>1088</v>
      </c>
    </row>
    <row r="17" spans="1:11" ht="15" customHeight="1" x14ac:dyDescent="0.45">
      <c r="A17" s="324" t="s">
        <v>1089</v>
      </c>
      <c r="B17" s="325" t="s">
        <v>1090</v>
      </c>
      <c r="C17" s="325" t="s">
        <v>1020</v>
      </c>
      <c r="D17" s="325" t="s">
        <v>1091</v>
      </c>
      <c r="F17" s="326" t="s">
        <v>1092</v>
      </c>
      <c r="G17" s="325" t="s">
        <v>1093</v>
      </c>
      <c r="H17" s="325" t="s">
        <v>1020</v>
      </c>
      <c r="I17" s="325" t="s">
        <v>1094</v>
      </c>
    </row>
    <row r="18" spans="1:11" ht="15" customHeight="1" x14ac:dyDescent="0.45">
      <c r="A18" s="324" t="s">
        <v>1095</v>
      </c>
      <c r="B18" s="325" t="s">
        <v>1096</v>
      </c>
      <c r="C18" s="325" t="s">
        <v>1020</v>
      </c>
      <c r="D18" s="325" t="s">
        <v>1097</v>
      </c>
      <c r="F18" s="326" t="s">
        <v>1098</v>
      </c>
      <c r="G18" s="325" t="s">
        <v>1099</v>
      </c>
      <c r="H18" s="325" t="s">
        <v>1020</v>
      </c>
      <c r="I18" s="325" t="s">
        <v>1100</v>
      </c>
    </row>
    <row r="19" spans="1:11" ht="15" customHeight="1" x14ac:dyDescent="0.45">
      <c r="A19" s="324" t="s">
        <v>1101</v>
      </c>
      <c r="B19" s="325" t="s">
        <v>1102</v>
      </c>
      <c r="C19" s="325" t="s">
        <v>1020</v>
      </c>
      <c r="D19" s="325" t="s">
        <v>1103</v>
      </c>
      <c r="F19" s="326" t="s">
        <v>1104</v>
      </c>
      <c r="G19" s="325" t="s">
        <v>1105</v>
      </c>
      <c r="H19" s="325" t="s">
        <v>1020</v>
      </c>
      <c r="I19" s="325" t="s">
        <v>1106</v>
      </c>
    </row>
    <row r="20" spans="1:11" ht="15" customHeight="1" x14ac:dyDescent="0.45">
      <c r="A20" s="324" t="s">
        <v>1107</v>
      </c>
      <c r="B20" s="325" t="s">
        <v>1108</v>
      </c>
      <c r="C20" s="325" t="s">
        <v>1020</v>
      </c>
      <c r="D20" s="325" t="s">
        <v>1109</v>
      </c>
      <c r="F20" s="326" t="s">
        <v>1110</v>
      </c>
      <c r="G20" s="325" t="s">
        <v>1111</v>
      </c>
      <c r="H20" s="325" t="s">
        <v>1020</v>
      </c>
      <c r="I20" s="325" t="s">
        <v>1112</v>
      </c>
    </row>
    <row r="21" spans="1:11" ht="15" customHeight="1" x14ac:dyDescent="0.45">
      <c r="A21" s="324" t="s">
        <v>1113</v>
      </c>
      <c r="B21" s="325" t="s">
        <v>1114</v>
      </c>
      <c r="C21" s="325" t="s">
        <v>1020</v>
      </c>
      <c r="D21" s="325" t="s">
        <v>1115</v>
      </c>
      <c r="F21" s="326" t="s">
        <v>1116</v>
      </c>
      <c r="G21" s="325" t="s">
        <v>1117</v>
      </c>
      <c r="H21" s="325" t="s">
        <v>1020</v>
      </c>
      <c r="I21" s="325" t="s">
        <v>1118</v>
      </c>
    </row>
    <row r="22" spans="1:11" ht="15" customHeight="1" x14ac:dyDescent="0.45">
      <c r="A22" s="324" t="s">
        <v>1119</v>
      </c>
      <c r="B22" s="325" t="s">
        <v>1120</v>
      </c>
      <c r="C22" s="325" t="s">
        <v>1020</v>
      </c>
      <c r="D22" s="325" t="s">
        <v>1121</v>
      </c>
      <c r="F22" s="326" t="s">
        <v>1122</v>
      </c>
      <c r="G22" s="325" t="s">
        <v>1123</v>
      </c>
      <c r="H22" s="325" t="s">
        <v>1020</v>
      </c>
      <c r="I22" s="325" t="s">
        <v>1124</v>
      </c>
    </row>
    <row r="23" spans="1:11" ht="15" customHeight="1" x14ac:dyDescent="0.45">
      <c r="A23" s="324" t="s">
        <v>1125</v>
      </c>
      <c r="B23" s="325" t="s">
        <v>1126</v>
      </c>
      <c r="C23" s="325" t="s">
        <v>1020</v>
      </c>
      <c r="D23" s="325" t="s">
        <v>1127</v>
      </c>
      <c r="F23" s="326" t="s">
        <v>1128</v>
      </c>
      <c r="G23" s="325" t="s">
        <v>1129</v>
      </c>
      <c r="H23" s="325" t="s">
        <v>1020</v>
      </c>
      <c r="I23" s="325" t="s">
        <v>1130</v>
      </c>
    </row>
    <row r="24" spans="1:11" ht="15" customHeight="1" x14ac:dyDescent="0.45">
      <c r="A24" s="324" t="s">
        <v>1131</v>
      </c>
      <c r="B24" s="325" t="s">
        <v>1132</v>
      </c>
      <c r="C24" s="325" t="s">
        <v>1020</v>
      </c>
      <c r="D24" s="325" t="s">
        <v>1133</v>
      </c>
      <c r="F24" s="326" t="s">
        <v>1134</v>
      </c>
      <c r="G24" s="325" t="s">
        <v>1135</v>
      </c>
      <c r="H24" s="325" t="s">
        <v>1020</v>
      </c>
      <c r="I24" s="325" t="s">
        <v>1136</v>
      </c>
      <c r="K24" s="327"/>
    </row>
    <row r="25" spans="1:11" ht="15" customHeight="1" x14ac:dyDescent="0.45">
      <c r="A25" s="324" t="s">
        <v>1137</v>
      </c>
      <c r="B25" s="325" t="s">
        <v>1138</v>
      </c>
      <c r="C25" s="325" t="s">
        <v>1020</v>
      </c>
      <c r="D25" s="325" t="s">
        <v>1139</v>
      </c>
      <c r="F25" s="326" t="s">
        <v>1122</v>
      </c>
      <c r="G25" s="325" t="s">
        <v>1140</v>
      </c>
      <c r="H25" s="325" t="s">
        <v>1020</v>
      </c>
      <c r="I25" s="325" t="s">
        <v>1141</v>
      </c>
    </row>
    <row r="26" spans="1:11" ht="15" customHeight="1" x14ac:dyDescent="0.45">
      <c r="A26" s="324" t="s">
        <v>1142</v>
      </c>
      <c r="B26" s="325" t="s">
        <v>1143</v>
      </c>
      <c r="C26" s="325" t="s">
        <v>1020</v>
      </c>
      <c r="D26" s="325" t="s">
        <v>1144</v>
      </c>
      <c r="F26" s="326" t="s">
        <v>1145</v>
      </c>
      <c r="G26" s="325" t="s">
        <v>1146</v>
      </c>
      <c r="H26" s="325" t="s">
        <v>1020</v>
      </c>
      <c r="I26" s="325" t="s">
        <v>1147</v>
      </c>
    </row>
    <row r="27" spans="1:11" ht="15" customHeight="1" x14ac:dyDescent="0.45">
      <c r="A27" s="324" t="s">
        <v>1148</v>
      </c>
      <c r="B27" s="325" t="s">
        <v>1149</v>
      </c>
      <c r="C27" s="325" t="s">
        <v>1020</v>
      </c>
      <c r="D27" s="325" t="s">
        <v>1150</v>
      </c>
      <c r="F27" s="326" t="s">
        <v>1151</v>
      </c>
      <c r="G27" s="325" t="s">
        <v>1152</v>
      </c>
      <c r="H27" s="325" t="s">
        <v>1020</v>
      </c>
      <c r="I27" s="325" t="s">
        <v>1153</v>
      </c>
    </row>
    <row r="28" spans="1:11" ht="15" customHeight="1" x14ac:dyDescent="0.45">
      <c r="A28" s="324" t="s">
        <v>1154</v>
      </c>
      <c r="B28" s="325" t="s">
        <v>1155</v>
      </c>
      <c r="C28" s="325" t="s">
        <v>1020</v>
      </c>
      <c r="D28" s="325" t="s">
        <v>1156</v>
      </c>
      <c r="F28" s="326" t="s">
        <v>1157</v>
      </c>
      <c r="G28" s="325" t="s">
        <v>1158</v>
      </c>
      <c r="H28" s="325" t="s">
        <v>1020</v>
      </c>
      <c r="I28" s="325" t="s">
        <v>1159</v>
      </c>
    </row>
    <row r="29" spans="1:11" ht="15" customHeight="1" x14ac:dyDescent="0.45">
      <c r="A29" s="324" t="s">
        <v>1110</v>
      </c>
      <c r="B29" s="325" t="s">
        <v>1111</v>
      </c>
      <c r="C29" s="325" t="s">
        <v>1020</v>
      </c>
      <c r="D29" s="325" t="s">
        <v>1112</v>
      </c>
    </row>
    <row r="30" spans="1:11" ht="15" customHeight="1" x14ac:dyDescent="0.45">
      <c r="A30" s="324" t="s">
        <v>1160</v>
      </c>
      <c r="B30" s="325" t="s">
        <v>1161</v>
      </c>
      <c r="C30" s="325" t="s">
        <v>1020</v>
      </c>
      <c r="D30" s="325" t="s">
        <v>1162</v>
      </c>
    </row>
    <row r="31" spans="1:11" ht="15" customHeight="1" x14ac:dyDescent="0.45">
      <c r="A31" s="324" t="s">
        <v>1163</v>
      </c>
      <c r="B31" s="325" t="s">
        <v>1164</v>
      </c>
      <c r="C31" s="325" t="s">
        <v>1020</v>
      </c>
      <c r="D31" s="325" t="s">
        <v>1165</v>
      </c>
    </row>
    <row r="32" spans="1:11" ht="15" customHeight="1" x14ac:dyDescent="0.45">
      <c r="A32" s="324" t="s">
        <v>1166</v>
      </c>
      <c r="B32" s="325" t="s">
        <v>1167</v>
      </c>
      <c r="C32" s="325" t="s">
        <v>1020</v>
      </c>
      <c r="D32" s="325" t="s">
        <v>1168</v>
      </c>
    </row>
    <row r="33" spans="1:4" ht="15" customHeight="1" x14ac:dyDescent="0.45">
      <c r="A33" s="324" t="s">
        <v>1169</v>
      </c>
      <c r="B33" s="325" t="s">
        <v>1170</v>
      </c>
      <c r="C33" s="325" t="s">
        <v>1020</v>
      </c>
      <c r="D33" s="325" t="s">
        <v>1171</v>
      </c>
    </row>
    <row r="34" spans="1:4" ht="15" customHeight="1" x14ac:dyDescent="0.45">
      <c r="A34" s="324" t="s">
        <v>1172</v>
      </c>
      <c r="B34" s="325" t="s">
        <v>1173</v>
      </c>
      <c r="C34" s="325" t="s">
        <v>1020</v>
      </c>
      <c r="D34" s="325" t="s">
        <v>1174</v>
      </c>
    </row>
    <row r="35" spans="1:4" ht="15" customHeight="1" x14ac:dyDescent="0.45">
      <c r="A35" s="324" t="s">
        <v>1175</v>
      </c>
      <c r="B35" s="325" t="s">
        <v>1176</v>
      </c>
      <c r="C35" s="325" t="s">
        <v>1020</v>
      </c>
      <c r="D35" s="325" t="s">
        <v>1177</v>
      </c>
    </row>
    <row r="36" spans="1:4" ht="15" customHeight="1" x14ac:dyDescent="0.45">
      <c r="A36" s="324" t="s">
        <v>1178</v>
      </c>
      <c r="B36" s="325" t="s">
        <v>1179</v>
      </c>
      <c r="C36" s="325" t="s">
        <v>1020</v>
      </c>
      <c r="D36" s="325" t="s">
        <v>1180</v>
      </c>
    </row>
    <row r="37" spans="1:4" ht="15" customHeight="1" x14ac:dyDescent="0.45">
      <c r="A37" s="324" t="s">
        <v>1181</v>
      </c>
      <c r="B37" s="325" t="s">
        <v>1182</v>
      </c>
      <c r="C37" s="325" t="s">
        <v>1020</v>
      </c>
      <c r="D37" s="325" t="s">
        <v>1183</v>
      </c>
    </row>
    <row r="38" spans="1:4" ht="15" customHeight="1" x14ac:dyDescent="0.45">
      <c r="A38" s="324" t="s">
        <v>1184</v>
      </c>
      <c r="B38" s="325" t="s">
        <v>1185</v>
      </c>
      <c r="C38" s="325" t="s">
        <v>1020</v>
      </c>
      <c r="D38" s="325" t="s">
        <v>1186</v>
      </c>
    </row>
    <row r="39" spans="1:4" ht="15" customHeight="1" x14ac:dyDescent="0.45">
      <c r="A39" s="324" t="s">
        <v>1187</v>
      </c>
      <c r="B39" s="325" t="s">
        <v>1188</v>
      </c>
      <c r="C39" s="325" t="s">
        <v>1020</v>
      </c>
      <c r="D39" s="325" t="s">
        <v>1189</v>
      </c>
    </row>
    <row r="40" spans="1:4" ht="15" customHeight="1" x14ac:dyDescent="0.45">
      <c r="A40" s="324" t="s">
        <v>1190</v>
      </c>
      <c r="B40" s="325" t="s">
        <v>1191</v>
      </c>
      <c r="C40" s="325" t="s">
        <v>1020</v>
      </c>
      <c r="D40" s="325" t="s">
        <v>1192</v>
      </c>
    </row>
    <row r="41" spans="1:4" ht="15" customHeight="1" x14ac:dyDescent="0.45">
      <c r="A41" s="324" t="s">
        <v>1193</v>
      </c>
      <c r="B41" s="325" t="s">
        <v>1194</v>
      </c>
      <c r="C41" s="325" t="s">
        <v>1020</v>
      </c>
      <c r="D41" s="325" t="s">
        <v>1195</v>
      </c>
    </row>
    <row r="42" spans="1:4" ht="15" customHeight="1" x14ac:dyDescent="0.45">
      <c r="A42" s="324" t="s">
        <v>1196</v>
      </c>
      <c r="B42" s="325" t="s">
        <v>1197</v>
      </c>
      <c r="C42" s="325" t="s">
        <v>1020</v>
      </c>
      <c r="D42" s="325" t="s">
        <v>1198</v>
      </c>
    </row>
    <row r="43" spans="1:4" ht="15" customHeight="1" x14ac:dyDescent="0.45">
      <c r="A43" s="324" t="s">
        <v>1199</v>
      </c>
      <c r="B43" s="325" t="s">
        <v>1200</v>
      </c>
      <c r="C43" s="325" t="s">
        <v>1020</v>
      </c>
      <c r="D43" s="325" t="s">
        <v>1201</v>
      </c>
    </row>
    <row r="44" spans="1:4" ht="15" customHeight="1" x14ac:dyDescent="0.45">
      <c r="A44" s="324" t="s">
        <v>1202</v>
      </c>
      <c r="B44" s="325" t="s">
        <v>1203</v>
      </c>
      <c r="C44" s="325" t="s">
        <v>1020</v>
      </c>
      <c r="D44" s="325" t="s">
        <v>1204</v>
      </c>
    </row>
    <row r="45" spans="1:4" ht="15" customHeight="1" x14ac:dyDescent="0.45">
      <c r="A45" s="324" t="s">
        <v>1205</v>
      </c>
      <c r="B45" s="325" t="s">
        <v>1206</v>
      </c>
      <c r="C45" s="325" t="s">
        <v>1020</v>
      </c>
      <c r="D45" s="325" t="s">
        <v>1207</v>
      </c>
    </row>
    <row r="46" spans="1:4" ht="15" customHeight="1" x14ac:dyDescent="0.45">
      <c r="A46" s="324" t="s">
        <v>1208</v>
      </c>
      <c r="B46" s="325" t="s">
        <v>1209</v>
      </c>
      <c r="C46" s="325" t="s">
        <v>1020</v>
      </c>
      <c r="D46" s="325" t="s">
        <v>1210</v>
      </c>
    </row>
    <row r="47" spans="1:4" ht="15" customHeight="1" x14ac:dyDescent="0.45">
      <c r="A47" s="324" t="s">
        <v>1211</v>
      </c>
      <c r="B47" s="325" t="s">
        <v>1212</v>
      </c>
      <c r="C47" s="325" t="s">
        <v>1020</v>
      </c>
      <c r="D47" s="325" t="s">
        <v>1213</v>
      </c>
    </row>
    <row r="48" spans="1:4" ht="15" customHeight="1" x14ac:dyDescent="0.45">
      <c r="A48" s="324" t="s">
        <v>1214</v>
      </c>
      <c r="B48" s="325" t="s">
        <v>1215</v>
      </c>
      <c r="C48" s="325" t="s">
        <v>1020</v>
      </c>
      <c r="D48" s="325" t="s">
        <v>1216</v>
      </c>
    </row>
    <row r="49" spans="1:4" ht="15" customHeight="1" x14ac:dyDescent="0.45">
      <c r="A49" s="324" t="s">
        <v>1217</v>
      </c>
      <c r="B49" s="325" t="s">
        <v>1218</v>
      </c>
      <c r="C49" s="325" t="s">
        <v>1020</v>
      </c>
      <c r="D49" s="325" t="s">
        <v>1219</v>
      </c>
    </row>
    <row r="50" spans="1:4" ht="15" customHeight="1" x14ac:dyDescent="0.45">
      <c r="A50" s="324" t="s">
        <v>1052</v>
      </c>
      <c r="B50" s="325" t="s">
        <v>1053</v>
      </c>
      <c r="C50" s="325" t="s">
        <v>1020</v>
      </c>
      <c r="D50" s="325" t="s">
        <v>1048</v>
      </c>
    </row>
    <row r="51" spans="1:4" ht="15" customHeight="1" x14ac:dyDescent="0.45">
      <c r="A51" s="324" t="s">
        <v>1220</v>
      </c>
      <c r="B51" s="325" t="s">
        <v>1218</v>
      </c>
      <c r="C51" s="325" t="s">
        <v>1020</v>
      </c>
      <c r="D51" s="325" t="s">
        <v>1221</v>
      </c>
    </row>
    <row r="52" spans="1:4" ht="15" customHeight="1" x14ac:dyDescent="0.45">
      <c r="A52" s="324" t="s">
        <v>1222</v>
      </c>
      <c r="B52" s="325" t="s">
        <v>1223</v>
      </c>
      <c r="C52" s="325" t="s">
        <v>1020</v>
      </c>
      <c r="D52" s="325" t="s">
        <v>1224</v>
      </c>
    </row>
    <row r="53" spans="1:4" ht="15" customHeight="1" x14ac:dyDescent="0.45">
      <c r="A53" s="324" t="s">
        <v>1160</v>
      </c>
      <c r="B53" s="325" t="s">
        <v>1225</v>
      </c>
      <c r="C53" s="325" t="s">
        <v>1020</v>
      </c>
      <c r="D53" s="325" t="s">
        <v>1226</v>
      </c>
    </row>
    <row r="54" spans="1:4" ht="15" customHeight="1" x14ac:dyDescent="0.45"/>
    <row r="55" spans="1:4" ht="15" customHeight="1" x14ac:dyDescent="0.45"/>
    <row r="56" spans="1:4" ht="15" customHeight="1" x14ac:dyDescent="0.45"/>
    <row r="57" spans="1:4" ht="15" customHeight="1" x14ac:dyDescent="0.45"/>
    <row r="58" spans="1:4" ht="15" customHeight="1" x14ac:dyDescent="0.45"/>
  </sheetData>
  <conditionalFormatting sqref="A5:A53">
    <cfRule type="expression" dxfId="3" priority="2" stopIfTrue="1">
      <formula>COUNTIF(EMPLOYEES,A5)=1</formula>
    </cfRule>
    <cfRule type="expression" dxfId="2" priority="4" stopIfTrue="1">
      <formula>COUNTIF(EMPLOYEES,A5)=1</formula>
    </cfRule>
  </conditionalFormatting>
  <conditionalFormatting sqref="F5:F28">
    <cfRule type="expression" dxfId="1" priority="1" stopIfTrue="1">
      <formula>COUNTIF(VENDORS,F5)=1</formula>
    </cfRule>
    <cfRule type="expression" dxfId="0" priority="3" stopIfTrue="1">
      <formula>COUNTIF(VENDORS,F5)=1</formula>
    </cfRule>
  </conditionalFormatting>
  <pageMargins left="0.7" right="0.7" top="0.75" bottom="0.75" header="0.3" footer="0.3"/>
  <drawing r:id="rId1"/>
</worksheet>
</file>

<file path=docMetadata/LabelInfo.xml><?xml version="1.0" encoding="utf-8"?>
<clbl:labelList xmlns:clbl="http://schemas.microsoft.com/office/2020/mipLabelMetadata">
  <clbl:label id="{2bdd4540-dfa8-4f47-92e3-d421298f2c89}" enabled="1" method="Privileged" siteId="{2f5e7ebc-22b0-4fbe-934c-aabddb4e29b1}"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32</vt:i4>
      </vt:variant>
      <vt:variant>
        <vt:lpstr>Named Ranges</vt:lpstr>
      </vt:variant>
      <vt:variant>
        <vt:i4>2</vt:i4>
      </vt:variant>
    </vt:vector>
  </HeadingPairs>
  <TitlesOfParts>
    <vt:vector size="34" baseType="lpstr">
      <vt:lpstr>Summary</vt:lpstr>
      <vt:lpstr>Keyboard</vt:lpstr>
      <vt:lpstr>Security Functions</vt:lpstr>
      <vt:lpstr>Int. Rate Conversion</vt:lpstr>
      <vt:lpstr>Single Cash Flow</vt:lpstr>
      <vt:lpstr>Periodic Cash Flows</vt:lpstr>
      <vt:lpstr>Periodic Variable Cash Flows</vt:lpstr>
      <vt:lpstr>Non-Periodic Cash Flows</vt:lpstr>
      <vt:lpstr>Deprec. &amp; Amort.</vt:lpstr>
      <vt:lpstr>Dollar Conv.</vt:lpstr>
      <vt:lpstr>Inv. Pool</vt:lpstr>
      <vt:lpstr>Treasury Bills</vt:lpstr>
      <vt:lpstr>Disc. Notes</vt:lpstr>
      <vt:lpstr>Notes</vt:lpstr>
      <vt:lpstr>CDs</vt:lpstr>
      <vt:lpstr>WAM</vt:lpstr>
      <vt:lpstr>Return</vt:lpstr>
      <vt:lpstr>Benford's Law</vt:lpstr>
      <vt:lpstr>Resorting</vt:lpstr>
      <vt:lpstr>Collateral</vt:lpstr>
      <vt:lpstr>Filtering &amp; Subtotal</vt:lpstr>
      <vt:lpstr>SUMIF</vt:lpstr>
      <vt:lpstr>Mult. Criteria</vt:lpstr>
      <vt:lpstr>VLOOKUP</vt:lpstr>
      <vt:lpstr>SUMPRODUCT</vt:lpstr>
      <vt:lpstr>DataV</vt:lpstr>
      <vt:lpstr>INDEX &amp; MATCH</vt:lpstr>
      <vt:lpstr>TEXT</vt:lpstr>
      <vt:lpstr>IF</vt:lpstr>
      <vt:lpstr>Cond. Form.</vt:lpstr>
      <vt:lpstr>Pivot</vt:lpstr>
      <vt:lpstr>Comparing</vt:lpstr>
      <vt:lpstr>EMPLOYEES</vt:lpstr>
      <vt:lpstr>VENDORS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Shinkle, Patrick</dc:creator>
  <cp:lastModifiedBy>Patrick Shinkle</cp:lastModifiedBy>
  <dcterms:created xsi:type="dcterms:W3CDTF">2018-02-14T18:39:17Z</dcterms:created>
  <dcterms:modified xsi:type="dcterms:W3CDTF">2023-07-17T18:53:54Z</dcterms:modified>
</cp:coreProperties>
</file>